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1340" windowHeight="9690" firstSheet="16" activeTab="21"/>
  </bookViews>
  <sheets>
    <sheet name="Проф. нар. жим 1 вес" sheetId="1" r:id="rId1"/>
    <sheet name="Люб. нар. жим 1_2 вес" sheetId="2" r:id="rId2"/>
    <sheet name="Люб. нар. жим 1 вес" sheetId="3" r:id="rId3"/>
    <sheet name="Бицепс Проф." sheetId="4" r:id="rId4"/>
    <sheet name="Бицепс Любители" sheetId="5" r:id="rId5"/>
    <sheet name="РТ Проф. 100 кг." sheetId="6" r:id="rId6"/>
    <sheet name="РТ любители 100 кг." sheetId="7" r:id="rId7"/>
    <sheet name="РЖ любители 75 кг." sheetId="8" r:id="rId8"/>
    <sheet name="РЖ любители 55 кг." sheetId="9" r:id="rId9"/>
    <sheet name="Двоеборье проф." sheetId="10" r:id="rId10"/>
    <sheet name="Двоеборье люб" sheetId="11" r:id="rId11"/>
    <sheet name="Люб. присед б.э." sheetId="12" r:id="rId12"/>
    <sheet name="ПРО тяга б.э." sheetId="13" r:id="rId13"/>
    <sheet name="Люб. тяга б.э." sheetId="14" r:id="rId14"/>
    <sheet name="Люб. тяга 1.слой" sheetId="15" r:id="rId15"/>
    <sheet name="ПРО жим софт экип." sheetId="16" r:id="rId16"/>
    <sheet name="Люб. жим софт экип." sheetId="17" r:id="rId17"/>
    <sheet name="ПРО жим б.э." sheetId="18" r:id="rId18"/>
    <sheet name="Люб. жим б.э." sheetId="19" r:id="rId19"/>
    <sheet name="Люб. Военный жим" sheetId="20" r:id="rId20"/>
    <sheet name="ПРО ПЛ. б.э." sheetId="21" r:id="rId21"/>
    <sheet name="Люб. ПЛ. б.э." sheetId="22" r:id="rId22"/>
  </sheets>
  <definedNames/>
  <calcPr fullCalcOnLoad="1" refMode="R1C1"/>
</workbook>
</file>

<file path=xl/sharedStrings.xml><?xml version="1.0" encoding="utf-8"?>
<sst xmlns="http://schemas.openxmlformats.org/spreadsheetml/2006/main" count="3188" uniqueCount="960">
  <si>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</si>
  <si>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</si>
  <si>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</si>
  <si>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</si>
  <si>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</si>
  <si>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</si>
  <si>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</si>
  <si>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Собственный 
Вес</t>
  </si>
  <si>
    <t>Город/Область</t>
  </si>
  <si>
    <t>Ростовская Крепость
Любители пауэрлифтинг без экипировки
Ростов-на-Дону/Ростовская область марта 2019 г.</t>
  </si>
  <si>
    <t>Shv/Mel</t>
  </si>
  <si>
    <t>Приседание</t>
  </si>
  <si>
    <t>Жим лёжа</t>
  </si>
  <si>
    <t>Становая тяга</t>
  </si>
  <si>
    <t>ВЕСОВАЯ КАТЕГОРИЯ   52</t>
  </si>
  <si>
    <t>Лебедькова Галина</t>
  </si>
  <si>
    <t>1. Лебедькова Галина</t>
  </si>
  <si>
    <t>Открытая (20.03.1972)/46</t>
  </si>
  <si>
    <t>51,40</t>
  </si>
  <si>
    <t xml:space="preserve">лично </t>
  </si>
  <si>
    <t xml:space="preserve">Ростов-на-Дону/Ростовская область </t>
  </si>
  <si>
    <t>87,5</t>
  </si>
  <si>
    <t>92,5</t>
  </si>
  <si>
    <t>55,0</t>
  </si>
  <si>
    <t>57,5</t>
  </si>
  <si>
    <t>60,0</t>
  </si>
  <si>
    <t>105,0</t>
  </si>
  <si>
    <t>110,0</t>
  </si>
  <si>
    <t>115,0</t>
  </si>
  <si>
    <t xml:space="preserve">Самостоятельно </t>
  </si>
  <si>
    <t>Дуванская Дарья</t>
  </si>
  <si>
    <t>2. Дуванская Дарья</t>
  </si>
  <si>
    <t>Открытая (03.06.1997)/21</t>
  </si>
  <si>
    <t>51,15</t>
  </si>
  <si>
    <t xml:space="preserve">MAGNUM </t>
  </si>
  <si>
    <t>72,5</t>
  </si>
  <si>
    <t>75,0</t>
  </si>
  <si>
    <t>42,5</t>
  </si>
  <si>
    <t>45,0</t>
  </si>
  <si>
    <t>47,5</t>
  </si>
  <si>
    <t>80,0</t>
  </si>
  <si>
    <t>90,0</t>
  </si>
  <si>
    <t>95,0</t>
  </si>
  <si>
    <t xml:space="preserve">Николенко С. </t>
  </si>
  <si>
    <t>ВЕСОВАЯ КАТЕГОРИЯ   56</t>
  </si>
  <si>
    <t>Корзун Екатерина</t>
  </si>
  <si>
    <t>1. Корзун Екатерина</t>
  </si>
  <si>
    <t>Открытая (17.06.1983)/35</t>
  </si>
  <si>
    <t>55,00</t>
  </si>
  <si>
    <t>100,0</t>
  </si>
  <si>
    <t>130,0</t>
  </si>
  <si>
    <t>140,0</t>
  </si>
  <si>
    <t>150,0</t>
  </si>
  <si>
    <t xml:space="preserve">Миненков С. </t>
  </si>
  <si>
    <t>ВЕСОВАЯ КАТЕГОРИЯ   82.5</t>
  </si>
  <si>
    <t>Лебедьков Илья</t>
  </si>
  <si>
    <t>1. Лебедьков Илья</t>
  </si>
  <si>
    <t>Открытая (05.04.1994)/24</t>
  </si>
  <si>
    <t>80,00</t>
  </si>
  <si>
    <t>160,0</t>
  </si>
  <si>
    <t>170,0</t>
  </si>
  <si>
    <t>180,0</t>
  </si>
  <si>
    <t>Денисенко Александр</t>
  </si>
  <si>
    <t>2. Денисенко Александр</t>
  </si>
  <si>
    <t>Открытая (01.10.1993)/25</t>
  </si>
  <si>
    <t>77,30</t>
  </si>
  <si>
    <t>145,0</t>
  </si>
  <si>
    <t>102,5</t>
  </si>
  <si>
    <t>157,5</t>
  </si>
  <si>
    <t>165,0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</si>
  <si>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</si>
  <si>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</si>
  <si>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</si>
  <si>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</si>
  <si>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</si>
  <si>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</si>
  <si>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Женщины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</si>
  <si>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</si>
  <si>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</si>
  <si>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</si>
  <si>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</si>
  <si>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</si>
  <si>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Shv/Mel </t>
  </si>
  <si>
    <t>56</t>
  </si>
  <si>
    <t>300,0</t>
  </si>
  <si>
    <t>277,6800</t>
  </si>
  <si>
    <t>52</t>
  </si>
  <si>
    <t>260,0</t>
  </si>
  <si>
    <t>254,4230</t>
  </si>
  <si>
    <t>212,5</t>
  </si>
  <si>
    <t>208,7813</t>
  </si>
  <si>
    <t xml:space="preserve">Мужчины </t>
  </si>
  <si>
    <t>82.5</t>
  </si>
  <si>
    <t>440,0</t>
  </si>
  <si>
    <t>278,4760</t>
  </si>
  <si>
    <t>410,0</t>
  </si>
  <si>
    <t>266,1720</t>
  </si>
  <si>
    <t>Ростовская Крепость
ПРО пауэрлифтинг без экипировки
Ростов-на-Дону/Ростовская область марта 2019 г.</t>
  </si>
  <si>
    <t>ВЕСОВАЯ КАТЕГОРИЯ   67.5</t>
  </si>
  <si>
    <t>Алампиев Сергей</t>
  </si>
  <si>
    <t>1. Алампиев Сергей</t>
  </si>
  <si>
    <t>Мастера 60 - 64 (07.04.1957)/61</t>
  </si>
  <si>
    <t>67,45</t>
  </si>
  <si>
    <t xml:space="preserve">Апатиты/Мурманская область </t>
  </si>
  <si>
    <t>70,0</t>
  </si>
  <si>
    <t>190,0</t>
  </si>
  <si>
    <t xml:space="preserve">Мастера </t>
  </si>
  <si>
    <t xml:space="preserve">Мастера 60 - 64 </t>
  </si>
  <si>
    <t>67.5</t>
  </si>
  <si>
    <t>400,0</t>
  </si>
  <si>
    <t>493,8840</t>
  </si>
  <si>
    <t>Ростовская Крепость
Любители военный жим
Ростов-на-Дону/Ростовская область марта 2019 г.</t>
  </si>
  <si>
    <t>ВЕСОВАЯ КАТЕГОРИЯ   60</t>
  </si>
  <si>
    <t>Большенко Дмитрий</t>
  </si>
  <si>
    <t>-. Большенко Дмитрий</t>
  </si>
  <si>
    <t>Юноши 18 - 19 (20.04.1999)/19</t>
  </si>
  <si>
    <t>59,10</t>
  </si>
  <si>
    <t>62,5</t>
  </si>
  <si>
    <t>ВЕСОВАЯ КАТЕГОРИЯ   75</t>
  </si>
  <si>
    <t>Иващенко Владимир</t>
  </si>
  <si>
    <t>1. Иващенко Владимир</t>
  </si>
  <si>
    <t>Мастера 55 - 59 (22.01.1961)/58</t>
  </si>
  <si>
    <t>74,40</t>
  </si>
  <si>
    <t xml:space="preserve">ВДВ Шахты </t>
  </si>
  <si>
    <t xml:space="preserve">Шахты/Ростовская область </t>
  </si>
  <si>
    <t xml:space="preserve">Ичетовкин С. </t>
  </si>
  <si>
    <t>Поздняков Артем</t>
  </si>
  <si>
    <t>1. Поздняков Артем</t>
  </si>
  <si>
    <t>Открытая (09.04.1990)/28</t>
  </si>
  <si>
    <t>81,60</t>
  </si>
  <si>
    <t>120,0</t>
  </si>
  <si>
    <t>125,0</t>
  </si>
  <si>
    <t>ВЕСОВАЯ КАТЕГОРИЯ   90</t>
  </si>
  <si>
    <t>Куприянов Евгений</t>
  </si>
  <si>
    <t>1. Куприянов Евгений</t>
  </si>
  <si>
    <t>Мастера 45 - 49 (04.02.1972)/47</t>
  </si>
  <si>
    <t>87,60</t>
  </si>
  <si>
    <t>ВЕСОВАЯ КАТЕГОРИЯ   100</t>
  </si>
  <si>
    <t>Шаламов Александр</t>
  </si>
  <si>
    <t>1. Шаламов Александр</t>
  </si>
  <si>
    <t>Мастера 55 - 59 (11.10.1963)/55</t>
  </si>
  <si>
    <t>99,55</t>
  </si>
  <si>
    <t>ВЕСОВАЯ КАТЕГОРИЯ   125</t>
  </si>
  <si>
    <t>Арслангереев Джапар</t>
  </si>
  <si>
    <t>1. Арслангереев Джапар</t>
  </si>
  <si>
    <t>Открытая (31.08.1986)/32</t>
  </si>
  <si>
    <t>117,65</t>
  </si>
  <si>
    <t>Хорошаев Геннадий</t>
  </si>
  <si>
    <t>1. Хорошаев Геннадий</t>
  </si>
  <si>
    <t>Мастера 55 - 59 (07.03.1963)/56</t>
  </si>
  <si>
    <t>119,80</t>
  </si>
  <si>
    <t>135,0</t>
  </si>
  <si>
    <t>125</t>
  </si>
  <si>
    <t>89,9385</t>
  </si>
  <si>
    <t>74,8920</t>
  </si>
  <si>
    <t xml:space="preserve">Мастера 55 - 59 </t>
  </si>
  <si>
    <t>75</t>
  </si>
  <si>
    <t>112,9100</t>
  </si>
  <si>
    <t>109,3149</t>
  </si>
  <si>
    <t>100</t>
  </si>
  <si>
    <t>84,2718</t>
  </si>
  <si>
    <t xml:space="preserve">Мастера 45 - 49 </t>
  </si>
  <si>
    <t>90</t>
  </si>
  <si>
    <t>81,2448</t>
  </si>
  <si>
    <t>Результат</t>
  </si>
  <si>
    <t>Ростовская Крепость
Любители жим лежа без экипировки
Ростов-на-Дону/Ростовская область марта 2019 г.</t>
  </si>
  <si>
    <t>Вишнякова Марина</t>
  </si>
  <si>
    <t>1. Вишнякова Марина</t>
  </si>
  <si>
    <t>Открытая (02.01.1980)/39</t>
  </si>
  <si>
    <t>51,80</t>
  </si>
  <si>
    <t>65,0</t>
  </si>
  <si>
    <t>67,5</t>
  </si>
  <si>
    <t>2. Лебедькова Галина</t>
  </si>
  <si>
    <t>Базыкина Марина</t>
  </si>
  <si>
    <t>1. Базыкина Марина</t>
  </si>
  <si>
    <t>Мастера 50 - 54 (31.03.1968)/50</t>
  </si>
  <si>
    <t>61,40</t>
  </si>
  <si>
    <t>50,0</t>
  </si>
  <si>
    <t xml:space="preserve">Осауленко А. </t>
  </si>
  <si>
    <t>Маршалкин Евдоким</t>
  </si>
  <si>
    <t>1. Маршалкин Евдоким</t>
  </si>
  <si>
    <t>Юноши 16 - 17 (13.01.2003)/16</t>
  </si>
  <si>
    <t>53,20</t>
  </si>
  <si>
    <t xml:space="preserve">СК Ахилес </t>
  </si>
  <si>
    <t xml:space="preserve">Зверево/Ростовская область </t>
  </si>
  <si>
    <t xml:space="preserve">Ляпичев Е. </t>
  </si>
  <si>
    <t>Рожков Илья</t>
  </si>
  <si>
    <t>1. Рожков Илья</t>
  </si>
  <si>
    <t>Юноши 18 - 19 (17.12.2000)/18</t>
  </si>
  <si>
    <t>64,05</t>
  </si>
  <si>
    <t>127,5</t>
  </si>
  <si>
    <t>Донченко Игорь</t>
  </si>
  <si>
    <t>1. Донченко Игорь</t>
  </si>
  <si>
    <t>Юниоры 20 - 23 (07.09.1998)/20</t>
  </si>
  <si>
    <t xml:space="preserve">Клим В. </t>
  </si>
  <si>
    <t>Солощенко Алексей</t>
  </si>
  <si>
    <t>1. Солощенко Алексей</t>
  </si>
  <si>
    <t>Открытая (05.09.1988)/30</t>
  </si>
  <si>
    <t>66,40</t>
  </si>
  <si>
    <t>Александров Юрий</t>
  </si>
  <si>
    <t>1. Александров Юрий</t>
  </si>
  <si>
    <t>Открытая (03.12.1990)/28</t>
  </si>
  <si>
    <t>72,30</t>
  </si>
  <si>
    <t>Александров Дмитрий</t>
  </si>
  <si>
    <t>2. Александров Дмитрий</t>
  </si>
  <si>
    <t>Открытая (11.05.1994)/24</t>
  </si>
  <si>
    <t>71,65</t>
  </si>
  <si>
    <t xml:space="preserve">RHINODON </t>
  </si>
  <si>
    <t>122,5</t>
  </si>
  <si>
    <t xml:space="preserve">Кобилинский Д. </t>
  </si>
  <si>
    <t>Рябыкин Дмитрий</t>
  </si>
  <si>
    <t>3. Рябыкин Дмитрий</t>
  </si>
  <si>
    <t>Открытая (08.06.1984)/34</t>
  </si>
  <si>
    <t>73,80</t>
  </si>
  <si>
    <t>Борисов Артем</t>
  </si>
  <si>
    <t>4. Борисов Артем</t>
  </si>
  <si>
    <t>Открытая (23.03.1983)/35</t>
  </si>
  <si>
    <t>75,00</t>
  </si>
  <si>
    <t>Вотченко Александр</t>
  </si>
  <si>
    <t>1. Вотченко Александр</t>
  </si>
  <si>
    <t>Юниоры 20 - 23 (09.01.1996)/23</t>
  </si>
  <si>
    <t xml:space="preserve">Кущёвская/Краснодарский край </t>
  </si>
  <si>
    <t>142,5</t>
  </si>
  <si>
    <t>147,5</t>
  </si>
  <si>
    <t>Бухмиллер Клим</t>
  </si>
  <si>
    <t>2. Бухмиллер Клим</t>
  </si>
  <si>
    <t>Юниоры 20 - 23 (07.08.1997)/21</t>
  </si>
  <si>
    <t>82,15</t>
  </si>
  <si>
    <t xml:space="preserve">Азов/Ростовская область </t>
  </si>
  <si>
    <t xml:space="preserve">Девяткин </t>
  </si>
  <si>
    <t>Галечян Манвел</t>
  </si>
  <si>
    <t>3. Галечян Манвел</t>
  </si>
  <si>
    <t>Юниоры 20 - 23 (30.03.1996)/22</t>
  </si>
  <si>
    <t>81,00</t>
  </si>
  <si>
    <t xml:space="preserve">Варданян Д. </t>
  </si>
  <si>
    <t>Чеканов Олег</t>
  </si>
  <si>
    <t>4. Чеканов Олег</t>
  </si>
  <si>
    <t>Юниоры 20 - 23 (11.08.1996)/22</t>
  </si>
  <si>
    <t>79,50</t>
  </si>
  <si>
    <t>Зубко Сергей</t>
  </si>
  <si>
    <t>1. Зубко Сергей</t>
  </si>
  <si>
    <t>Открытая (10.12.1994)/24</t>
  </si>
  <si>
    <t>82,00</t>
  </si>
  <si>
    <t>167,5</t>
  </si>
  <si>
    <t>175,0</t>
  </si>
  <si>
    <t xml:space="preserve">Суслов Н. </t>
  </si>
  <si>
    <t>Музыченко Павел</t>
  </si>
  <si>
    <t>2. Музыченко Павел</t>
  </si>
  <si>
    <t>Открытая (30.05.1980)/38</t>
  </si>
  <si>
    <t>80,90</t>
  </si>
  <si>
    <t>Прокопенко Александр</t>
  </si>
  <si>
    <t>3. Прокопенко Александр</t>
  </si>
  <si>
    <t>Открытая (18.11.1988)/30</t>
  </si>
  <si>
    <t>80,55</t>
  </si>
  <si>
    <t>Прийма Дмитрий</t>
  </si>
  <si>
    <t>4. Прийма Дмитрий</t>
  </si>
  <si>
    <t>Открытая (04.01.1981)/38</t>
  </si>
  <si>
    <t>80,85</t>
  </si>
  <si>
    <t xml:space="preserve">СК БОМОНД </t>
  </si>
  <si>
    <t xml:space="preserve">Новочеркасск/Ростовская область </t>
  </si>
  <si>
    <t>137,5</t>
  </si>
  <si>
    <t>152,5</t>
  </si>
  <si>
    <t xml:space="preserve">Пахучий А. </t>
  </si>
  <si>
    <t>Очередниченко Николай</t>
  </si>
  <si>
    <t>5. Очередниченко Николай</t>
  </si>
  <si>
    <t>Открытая (18.06.1988)/30</t>
  </si>
  <si>
    <t>81,50</t>
  </si>
  <si>
    <t>6. Поздняков Артем</t>
  </si>
  <si>
    <t>Андрюхин Денис</t>
  </si>
  <si>
    <t>1. Андрюхин Денис</t>
  </si>
  <si>
    <t>Юноши 18 - 19 (16.10.2000)/18</t>
  </si>
  <si>
    <t>85,35</t>
  </si>
  <si>
    <t>Шевченко Антон</t>
  </si>
  <si>
    <t>1. Шевченко Антон</t>
  </si>
  <si>
    <t>Юниоры 20 - 23 (29.04.1997)/21</t>
  </si>
  <si>
    <t>86,75</t>
  </si>
  <si>
    <t xml:space="preserve">Пуля в бедре </t>
  </si>
  <si>
    <t>155,0</t>
  </si>
  <si>
    <t>Шифанов Андрей</t>
  </si>
  <si>
    <t>1. Шифанов Андрей</t>
  </si>
  <si>
    <t>Открытая (09.12.1982)/36</t>
  </si>
  <si>
    <t>89,70</t>
  </si>
  <si>
    <t>192,5</t>
  </si>
  <si>
    <t>197,5</t>
  </si>
  <si>
    <t>200,0</t>
  </si>
  <si>
    <t xml:space="preserve">Альберштейн Р. </t>
  </si>
  <si>
    <t>Борисенко Денис</t>
  </si>
  <si>
    <t>2. Борисенко Денис</t>
  </si>
  <si>
    <t>Открытая (03.03.1981)/38</t>
  </si>
  <si>
    <t>88,00</t>
  </si>
  <si>
    <t xml:space="preserve">Демин Р. </t>
  </si>
  <si>
    <t>Хоружий Михаил</t>
  </si>
  <si>
    <t>3. Хоружий Михаил</t>
  </si>
  <si>
    <t>Открытая (20.10.1996)/22</t>
  </si>
  <si>
    <t>85,20</t>
  </si>
  <si>
    <t>Омельченко Александр</t>
  </si>
  <si>
    <t>4. Омельченко Александр</t>
  </si>
  <si>
    <t>Открытая (06.07.1986)/32</t>
  </si>
  <si>
    <t>86,95</t>
  </si>
  <si>
    <t>Романов Иван</t>
  </si>
  <si>
    <t>5. Романов Иван</t>
  </si>
  <si>
    <t>Открытая (26.03.1988)/30</t>
  </si>
  <si>
    <t>88,40</t>
  </si>
  <si>
    <t>Макиенко Андрей</t>
  </si>
  <si>
    <t>6. Макиенко Андрей</t>
  </si>
  <si>
    <t>Открытая (16.10.1989)/29</t>
  </si>
  <si>
    <t>89,55</t>
  </si>
  <si>
    <t>Голиков Николай</t>
  </si>
  <si>
    <t>7. Голиков Николай</t>
  </si>
  <si>
    <t>Открытая (10.05.1983)/35</t>
  </si>
  <si>
    <t>Осипов Сергей</t>
  </si>
  <si>
    <t>1. Осипов Сергей</t>
  </si>
  <si>
    <t>Юниоры 20 - 23 (20.11.1995)/23</t>
  </si>
  <si>
    <t>99,15</t>
  </si>
  <si>
    <t xml:space="preserve">Александров Д. </t>
  </si>
  <si>
    <t>Кобилинский Демьян</t>
  </si>
  <si>
    <t>1. Кобилинский Демьян</t>
  </si>
  <si>
    <t>Открытая (12.03.1991)/28</t>
  </si>
  <si>
    <t>98,00</t>
  </si>
  <si>
    <t>182,5</t>
  </si>
  <si>
    <t>Радимушкин Денис</t>
  </si>
  <si>
    <t>2. Радимушкин Денис</t>
  </si>
  <si>
    <t>Открытая (25.01.1984)/35</t>
  </si>
  <si>
    <t>98,65</t>
  </si>
  <si>
    <t xml:space="preserve">FedoroV TEAM </t>
  </si>
  <si>
    <t>162,5</t>
  </si>
  <si>
    <t xml:space="preserve">Федоров Ю. </t>
  </si>
  <si>
    <t>Москвикин Сергей</t>
  </si>
  <si>
    <t>3. Москвикин Сергей</t>
  </si>
  <si>
    <t>Открытая (13.02.1989)/30</t>
  </si>
  <si>
    <t>97,00</t>
  </si>
  <si>
    <t xml:space="preserve">Pro Fitnes </t>
  </si>
  <si>
    <t>ВЕСОВАЯ КАТЕГОРИЯ   110</t>
  </si>
  <si>
    <t>Никитин Георгий</t>
  </si>
  <si>
    <t>1. Никитин Георгий</t>
  </si>
  <si>
    <t>Открытая (24.05.1991)/27</t>
  </si>
  <si>
    <t>102,40</t>
  </si>
  <si>
    <t>Красноштан Роман</t>
  </si>
  <si>
    <t>2. Красноштан Роман</t>
  </si>
  <si>
    <t>Открытая (02.04.1989)/29</t>
  </si>
  <si>
    <t>107,60</t>
  </si>
  <si>
    <t>Хорошаев Денис</t>
  </si>
  <si>
    <t>3. Хорошаев Денис</t>
  </si>
  <si>
    <t>Открытая (28.11.1984)/34</t>
  </si>
  <si>
    <t>101,65</t>
  </si>
  <si>
    <t>65,6336</t>
  </si>
  <si>
    <t>56,2666</t>
  </si>
  <si>
    <t xml:space="preserve">Мастера 50 - 54 </t>
  </si>
  <si>
    <t>47,0479</t>
  </si>
  <si>
    <t xml:space="preserve">Юноши </t>
  </si>
  <si>
    <t xml:space="preserve">Юноши 18 - 19 </t>
  </si>
  <si>
    <t>102,9708</t>
  </si>
  <si>
    <t>78,5917</t>
  </si>
  <si>
    <t xml:space="preserve">Юноши 16 - 17 </t>
  </si>
  <si>
    <t>52,3585</t>
  </si>
  <si>
    <t xml:space="preserve">Юниоры </t>
  </si>
  <si>
    <t xml:space="preserve">Юниоры 20 - 23 </t>
  </si>
  <si>
    <t>100,9920</t>
  </si>
  <si>
    <t>91,6241</t>
  </si>
  <si>
    <t>88,9343</t>
  </si>
  <si>
    <t>82,3645</t>
  </si>
  <si>
    <t>82,0321</t>
  </si>
  <si>
    <t>76,0288</t>
  </si>
  <si>
    <t>70,6374</t>
  </si>
  <si>
    <t>115,8337</t>
  </si>
  <si>
    <t>108,8325</t>
  </si>
  <si>
    <t>105,1733</t>
  </si>
  <si>
    <t>102,0357</t>
  </si>
  <si>
    <t>100,7680</t>
  </si>
  <si>
    <t>110</t>
  </si>
  <si>
    <t>98,7660</t>
  </si>
  <si>
    <t>94,7580</t>
  </si>
  <si>
    <t>92,7135</t>
  </si>
  <si>
    <t>92,6521</t>
  </si>
  <si>
    <t>92,5837</t>
  </si>
  <si>
    <t>90,5670</t>
  </si>
  <si>
    <t>88,9590</t>
  </si>
  <si>
    <t>87,8985</t>
  </si>
  <si>
    <t>86,3360</t>
  </si>
  <si>
    <t>86,0575</t>
  </si>
  <si>
    <t>84,8260</t>
  </si>
  <si>
    <t>82,4425</t>
  </si>
  <si>
    <t>81,1330</t>
  </si>
  <si>
    <t>80,7300</t>
  </si>
  <si>
    <t>79,8930</t>
  </si>
  <si>
    <t>79,7400</t>
  </si>
  <si>
    <t>79,2585</t>
  </si>
  <si>
    <t>71,4240</t>
  </si>
  <si>
    <t>68,7875</t>
  </si>
  <si>
    <t>113,0844</t>
  </si>
  <si>
    <t>95,7634</t>
  </si>
  <si>
    <t>84,4946</t>
  </si>
  <si>
    <t>Ростовская Крепость
ПРО жим лежа без экипировки
Ростов-на-Дону/Ростовская область марта 2019 г.</t>
  </si>
  <si>
    <t>Чурикова Оксана</t>
  </si>
  <si>
    <t>1. Чурикова Оксана</t>
  </si>
  <si>
    <t>Открытая (15.02.1984)/35</t>
  </si>
  <si>
    <t>55,90</t>
  </si>
  <si>
    <t xml:space="preserve">Таганрог/Ростовская область </t>
  </si>
  <si>
    <t xml:space="preserve">Топтунов А. </t>
  </si>
  <si>
    <t>Ермолаев Дмитрий</t>
  </si>
  <si>
    <t>1. Ермолаев Дмитрий</t>
  </si>
  <si>
    <t>Открытая (31.08.1995)/23</t>
  </si>
  <si>
    <t>67,05</t>
  </si>
  <si>
    <t xml:space="preserve">Аксай/Ростовская область </t>
  </si>
  <si>
    <t>Гончаренко Михаил</t>
  </si>
  <si>
    <t>1. Гончаренко Михаил</t>
  </si>
  <si>
    <t>Открытая (11.08.1977)/41</t>
  </si>
  <si>
    <t>79,95</t>
  </si>
  <si>
    <t>-. Самойличенко Виталий</t>
  </si>
  <si>
    <t>Открытая (04.05.1975)/43</t>
  </si>
  <si>
    <t>78,30</t>
  </si>
  <si>
    <t xml:space="preserve">Самсон </t>
  </si>
  <si>
    <t>185,0</t>
  </si>
  <si>
    <t xml:space="preserve">Миколаенко С. </t>
  </si>
  <si>
    <t>Арутюнов Тигран</t>
  </si>
  <si>
    <t>1. Арутюнов Тигран</t>
  </si>
  <si>
    <t>Открытая (02.07.1993)/25</t>
  </si>
  <si>
    <t>87,90</t>
  </si>
  <si>
    <t xml:space="preserve">Железноводск/Ставропольский край </t>
  </si>
  <si>
    <t>215,0</t>
  </si>
  <si>
    <t>220,0</t>
  </si>
  <si>
    <t>222,5</t>
  </si>
  <si>
    <t>Ляпичев Евгений</t>
  </si>
  <si>
    <t>1. Ляпичев Евгений</t>
  </si>
  <si>
    <t>Открытая (23.12.1984)/34</t>
  </si>
  <si>
    <t>Дубенко Родион</t>
  </si>
  <si>
    <t>1. Дубенко Родион</t>
  </si>
  <si>
    <t>Открытая (02.01.1989)/30</t>
  </si>
  <si>
    <t>103,00</t>
  </si>
  <si>
    <t xml:space="preserve">ДГТУ </t>
  </si>
  <si>
    <t>230,0</t>
  </si>
  <si>
    <t>235,0</t>
  </si>
  <si>
    <t xml:space="preserve">Осипов К.П. </t>
  </si>
  <si>
    <t>Гамзабеков Саид</t>
  </si>
  <si>
    <t>2. Гамзабеков Саид</t>
  </si>
  <si>
    <t>Открытая (15.10.1991)/27</t>
  </si>
  <si>
    <t>105,55</t>
  </si>
  <si>
    <t>205,0</t>
  </si>
  <si>
    <t>210,0</t>
  </si>
  <si>
    <t xml:space="preserve">Алибегов М. </t>
  </si>
  <si>
    <t>Ковалев Дмитрий</t>
  </si>
  <si>
    <t>1. Ковалев Дмитрий</t>
  </si>
  <si>
    <t>Открытая (15.11.1995)/23</t>
  </si>
  <si>
    <t>113,50</t>
  </si>
  <si>
    <t xml:space="preserve">Техас </t>
  </si>
  <si>
    <t>195,0</t>
  </si>
  <si>
    <t>ВЕСОВАЯ КАТЕГОРИЯ   140</t>
  </si>
  <si>
    <t>Гребенченко Денис</t>
  </si>
  <si>
    <t>1. Гребенченко Денис</t>
  </si>
  <si>
    <t>Открытая (08.11.1990)/28</t>
  </si>
  <si>
    <t>138,00</t>
  </si>
  <si>
    <t xml:space="preserve">Do4a.com </t>
  </si>
  <si>
    <t>250,0</t>
  </si>
  <si>
    <t>270,0</t>
  </si>
  <si>
    <t xml:space="preserve">Перепеченов О. </t>
  </si>
  <si>
    <t>52,5147</t>
  </si>
  <si>
    <t>140</t>
  </si>
  <si>
    <t>136,5390</t>
  </si>
  <si>
    <t>130,6580</t>
  </si>
  <si>
    <t>128,6625</t>
  </si>
  <si>
    <t>116,7020</t>
  </si>
  <si>
    <t>113,1810</t>
  </si>
  <si>
    <t>110,8100</t>
  </si>
  <si>
    <t>103,8960</t>
  </si>
  <si>
    <t>89,9040</t>
  </si>
  <si>
    <t>Ростовская Крепость
Любители жим лежа в софт экипировке
Ростов-на-Дону/Ростовская область марта 2019 г.</t>
  </si>
  <si>
    <t>Дорохов Евгений</t>
  </si>
  <si>
    <t>1. Дорохов Евгений</t>
  </si>
  <si>
    <t>Открытая (17.09.1985)/33</t>
  </si>
  <si>
    <t>80,50</t>
  </si>
  <si>
    <t>Альберштейн Руслан</t>
  </si>
  <si>
    <t>1. Альберштейн Руслан</t>
  </si>
  <si>
    <t>Мастера 45 - 49 (09.01.1973)/46</t>
  </si>
  <si>
    <t>89,65</t>
  </si>
  <si>
    <t>225,0</t>
  </si>
  <si>
    <t>Талецкий Егор</t>
  </si>
  <si>
    <t>1. Талецкий Егор</t>
  </si>
  <si>
    <t>Юноши 18 - 19 (29.08.1999)/19</t>
  </si>
  <si>
    <t>107,30</t>
  </si>
  <si>
    <t>245,0</t>
  </si>
  <si>
    <t>Учаев Максим</t>
  </si>
  <si>
    <t>1. Учаев Максим</t>
  </si>
  <si>
    <t>Открытая (05.02.1986)/33</t>
  </si>
  <si>
    <t>109,50</t>
  </si>
  <si>
    <t>240,0</t>
  </si>
  <si>
    <t>137,6175</t>
  </si>
  <si>
    <t>134,2750</t>
  </si>
  <si>
    <t>110,2675</t>
  </si>
  <si>
    <t>141,1160</t>
  </si>
  <si>
    <t>Ростовская Крепость
ПРО жим лежа в софт экипировке
Ростов-на-Дону/Ростовская область марта 2019 г.</t>
  </si>
  <si>
    <t>Осауленко Аркадий</t>
  </si>
  <si>
    <t>1. Осауленко Аркадий</t>
  </si>
  <si>
    <t>Открытая (30.04.1987)/31</t>
  </si>
  <si>
    <t>81,65</t>
  </si>
  <si>
    <t>202,5</t>
  </si>
  <si>
    <t>207,5</t>
  </si>
  <si>
    <t>126,3195</t>
  </si>
  <si>
    <t>Ростовская Крепость
Любители становая тяга в однослойной экипировке
Ростов-на-Дону/Ростовская область марта 2019 г.</t>
  </si>
  <si>
    <t>Олейник Денис</t>
  </si>
  <si>
    <t>1. Олейник Денис</t>
  </si>
  <si>
    <t>Открытая (03.05.1984)/34</t>
  </si>
  <si>
    <t>88,60</t>
  </si>
  <si>
    <t>130,0200</t>
  </si>
  <si>
    <t>Ростовская Крепость
Любители становая тяга без экипировки
Ростов-на-Дону/Ростовская область марта 2019 г.</t>
  </si>
  <si>
    <t>ВЕСОВАЯ КАТЕГОРИЯ   44</t>
  </si>
  <si>
    <t>-. Черкашина Марина</t>
  </si>
  <si>
    <t>Открытая (08.10.1995)/23</t>
  </si>
  <si>
    <t>42,90</t>
  </si>
  <si>
    <t xml:space="preserve">ЛНУ им. Шевченко </t>
  </si>
  <si>
    <t xml:space="preserve">Луганск/Луганская область </t>
  </si>
  <si>
    <t xml:space="preserve">Шинкарёв Н. </t>
  </si>
  <si>
    <t>Сидоренко Елена</t>
  </si>
  <si>
    <t>1. Сидоренко Елена</t>
  </si>
  <si>
    <t>Юниорки 20 - 23 (06.05.1995)/23</t>
  </si>
  <si>
    <t>51,95</t>
  </si>
  <si>
    <t>Александрова Светлана</t>
  </si>
  <si>
    <t>1. Александрова Светлана</t>
  </si>
  <si>
    <t>Открытая (16.01.1981)/38</t>
  </si>
  <si>
    <t>55,10</t>
  </si>
  <si>
    <t>Лавриненко Божена</t>
  </si>
  <si>
    <t>2. Лавриненко Божена</t>
  </si>
  <si>
    <t>Открытая (26.07.1983)/35</t>
  </si>
  <si>
    <t>55,25</t>
  </si>
  <si>
    <t>Попкова Вера</t>
  </si>
  <si>
    <t>1. Попкова Вера</t>
  </si>
  <si>
    <t>Открытая (08.10.1979)/39</t>
  </si>
  <si>
    <t>57,00</t>
  </si>
  <si>
    <t>Будаковская Екатерина</t>
  </si>
  <si>
    <t>1. Будаковская Екатерина</t>
  </si>
  <si>
    <t>Открытая (05.02.1982)/37</t>
  </si>
  <si>
    <t>61,60</t>
  </si>
  <si>
    <t>Димитраж Виктория</t>
  </si>
  <si>
    <t>1. Димитраж Виктория</t>
  </si>
  <si>
    <t>Открытая (23.03.1984)/34</t>
  </si>
  <si>
    <t>74,95</t>
  </si>
  <si>
    <t>Руденко Елена</t>
  </si>
  <si>
    <t>1. Руденко Елена</t>
  </si>
  <si>
    <t>Открытая (19.05.1970)/48</t>
  </si>
  <si>
    <t>79,20</t>
  </si>
  <si>
    <t xml:space="preserve">Sport Life </t>
  </si>
  <si>
    <t xml:space="preserve">Гулькевичи/Краснодарский край </t>
  </si>
  <si>
    <t>172,5</t>
  </si>
  <si>
    <t xml:space="preserve">Котов П. </t>
  </si>
  <si>
    <t>Максимов Евгений</t>
  </si>
  <si>
    <t>1. Максимов Евгений</t>
  </si>
  <si>
    <t>Юноши 0-13 (06.08.2006)/12</t>
  </si>
  <si>
    <t>41,45</t>
  </si>
  <si>
    <t>Шангин Евгений</t>
  </si>
  <si>
    <t>1. Шангин Евгений</t>
  </si>
  <si>
    <t>Юноши 14-15 (13.12.2003)/15</t>
  </si>
  <si>
    <t>59,95</t>
  </si>
  <si>
    <t>107,5</t>
  </si>
  <si>
    <t>Алферов Владислав</t>
  </si>
  <si>
    <t>1. Алферов Владислав</t>
  </si>
  <si>
    <t>Юноши 14-15 (23.09.2003)/15</t>
  </si>
  <si>
    <t>112,5</t>
  </si>
  <si>
    <t>Куличенко Никита</t>
  </si>
  <si>
    <t>1. Куличенко Никита</t>
  </si>
  <si>
    <t>Юноши 16 - 17 (08.05.2002)/16</t>
  </si>
  <si>
    <t>66,55</t>
  </si>
  <si>
    <t>Открытая (08.05.2002)/16</t>
  </si>
  <si>
    <t>-. Макаренко Кирилл</t>
  </si>
  <si>
    <t>Юноши 14-15 (29.03.2003)/15</t>
  </si>
  <si>
    <t>74,90</t>
  </si>
  <si>
    <t xml:space="preserve">Жирнов С. </t>
  </si>
  <si>
    <t>Катрецкий Андрей</t>
  </si>
  <si>
    <t>1. Катрецкий Андрей</t>
  </si>
  <si>
    <t>Открытая (25.07.1981)/37</t>
  </si>
  <si>
    <t>73,65</t>
  </si>
  <si>
    <t>Кочетков Роман</t>
  </si>
  <si>
    <t>2. Кочетков Роман</t>
  </si>
  <si>
    <t>Открытая (14.04.1995)/23</t>
  </si>
  <si>
    <t>72,35</t>
  </si>
  <si>
    <t xml:space="preserve">FITRON </t>
  </si>
  <si>
    <t>Максимов Никита</t>
  </si>
  <si>
    <t>1. Максимов Никита</t>
  </si>
  <si>
    <t>Юноши 16 - 17 (18.05.2002)/16</t>
  </si>
  <si>
    <t>77,25</t>
  </si>
  <si>
    <t>Соколов Антон</t>
  </si>
  <si>
    <t>1. Соколов Антон</t>
  </si>
  <si>
    <t>Юниоры 20 - 23 (29.11.1996)/22</t>
  </si>
  <si>
    <t>80,30</t>
  </si>
  <si>
    <t>187,5</t>
  </si>
  <si>
    <t>Булгаков Сергей</t>
  </si>
  <si>
    <t>1. Булгаков Сергей</t>
  </si>
  <si>
    <t>Открытая (15.02.1993)/26</t>
  </si>
  <si>
    <t>81,40</t>
  </si>
  <si>
    <t>217,5</t>
  </si>
  <si>
    <t>232,5</t>
  </si>
  <si>
    <t>Дуравкин Евгений</t>
  </si>
  <si>
    <t>2. Дуравкин Евгений</t>
  </si>
  <si>
    <t>Открытая (10.08.1980)/38</t>
  </si>
  <si>
    <t>78,65</t>
  </si>
  <si>
    <t>Плаксунов Сергей</t>
  </si>
  <si>
    <t>3. Плаксунов Сергей</t>
  </si>
  <si>
    <t>Открытая (06.02.1984)/35</t>
  </si>
  <si>
    <t>Андреев Валерий</t>
  </si>
  <si>
    <t>4. Андреев Валерий</t>
  </si>
  <si>
    <t>Открытая (22.07.1992)/26</t>
  </si>
  <si>
    <t>79,70</t>
  </si>
  <si>
    <t>Соловьев Сергей</t>
  </si>
  <si>
    <t>1. Соловьев Сергей</t>
  </si>
  <si>
    <t>Мастера 50 - 54 (04.11.1968)/50</t>
  </si>
  <si>
    <t>81,90</t>
  </si>
  <si>
    <t>Чертов Юрий</t>
  </si>
  <si>
    <t>1. Чертов Юрий</t>
  </si>
  <si>
    <t>Юноши 14-15 (12.07.2003)/15</t>
  </si>
  <si>
    <t>89,80</t>
  </si>
  <si>
    <t>Нестеренко Алексей</t>
  </si>
  <si>
    <t>1. Нестеренко Алексей</t>
  </si>
  <si>
    <t>Открытая (16.11.1993)/25</t>
  </si>
  <si>
    <t>86,90</t>
  </si>
  <si>
    <t>2. Омельченко Александр</t>
  </si>
  <si>
    <t>Шелестюк Евгений</t>
  </si>
  <si>
    <t>1. Шелестюк Евгений</t>
  </si>
  <si>
    <t>Открытая (02.08.1999)/19</t>
  </si>
  <si>
    <t>96,35</t>
  </si>
  <si>
    <t>Николенко Сергей</t>
  </si>
  <si>
    <t>2. Николенко Сергей</t>
  </si>
  <si>
    <t>Открытая (29.06.1985)/33</t>
  </si>
  <si>
    <t>98,20</t>
  </si>
  <si>
    <t>Щербаченко Олег</t>
  </si>
  <si>
    <t>1. Щербаченко Олег</t>
  </si>
  <si>
    <t>Открытая (25.02.1990)/29</t>
  </si>
  <si>
    <t>115,10</t>
  </si>
  <si>
    <t xml:space="preserve">Юниорки </t>
  </si>
  <si>
    <t>106,7110</t>
  </si>
  <si>
    <t>130,5255</t>
  </si>
  <si>
    <t>124,9110</t>
  </si>
  <si>
    <t>124,7670</t>
  </si>
  <si>
    <t>115,2750</t>
  </si>
  <si>
    <t>108,3450</t>
  </si>
  <si>
    <t>60</t>
  </si>
  <si>
    <t>89,8650</t>
  </si>
  <si>
    <t>172,3860</t>
  </si>
  <si>
    <t xml:space="preserve">Юноши 0-13 </t>
  </si>
  <si>
    <t>139,0503</t>
  </si>
  <si>
    <t xml:space="preserve">Юноши 14-15 </t>
  </si>
  <si>
    <t>119,3007</t>
  </si>
  <si>
    <t>106,4206</t>
  </si>
  <si>
    <t>105,5923</t>
  </si>
  <si>
    <t>96,4163</t>
  </si>
  <si>
    <t>125,9086</t>
  </si>
  <si>
    <t>152,5540</t>
  </si>
  <si>
    <t>150,0240</t>
  </si>
  <si>
    <t>140,9375</t>
  </si>
  <si>
    <t>139,3849</t>
  </si>
  <si>
    <t>134,5950</t>
  </si>
  <si>
    <t>133,1347</t>
  </si>
  <si>
    <t>132,8250</t>
  </si>
  <si>
    <t>128,5700</t>
  </si>
  <si>
    <t>126,5215</t>
  </si>
  <si>
    <t>122,8920</t>
  </si>
  <si>
    <t>119,7190</t>
  </si>
  <si>
    <t>107,8990</t>
  </si>
  <si>
    <t>142,3647</t>
  </si>
  <si>
    <t>Ростовская Крепость
ПРО становая тяга без экипировки
Ростов-на-Дону/Ростовская область марта 2019 г.</t>
  </si>
  <si>
    <t>234,5949</t>
  </si>
  <si>
    <t>Ростовская Крепость
Любители присед без экипировки
Ростов-на-Дону/Ростовская область марта 2019 г.</t>
  </si>
  <si>
    <t>Жирнов Сергей</t>
  </si>
  <si>
    <t>1. Жирнов Сергей</t>
  </si>
  <si>
    <t>Мастера 40 - 44 (24.11.1974)/44</t>
  </si>
  <si>
    <t>89,60</t>
  </si>
  <si>
    <t xml:space="preserve">Адреналин </t>
  </si>
  <si>
    <t xml:space="preserve">Мастера 40 - 44 </t>
  </si>
  <si>
    <t>225,5</t>
  </si>
  <si>
    <t>136,4487</t>
  </si>
  <si>
    <t>Ростовская Крепость
Силовое двоеборье любители
Ростов-на-Дону/Ростовская область марта 2019 г.</t>
  </si>
  <si>
    <t>Сутормин Сергей</t>
  </si>
  <si>
    <t>1. Сутормин Сергей</t>
  </si>
  <si>
    <t>Юноши 16 - 17 (28.12.2002)/16</t>
  </si>
  <si>
    <t>64,20</t>
  </si>
  <si>
    <t>Сидоренко Александр</t>
  </si>
  <si>
    <t>1. Сидоренко Александр</t>
  </si>
  <si>
    <t>Открытая (24.11.1993)/25</t>
  </si>
  <si>
    <t>76,50</t>
  </si>
  <si>
    <t>146,0344</t>
  </si>
  <si>
    <t>170,1180</t>
  </si>
  <si>
    <t>Ростовская Крепость
Силовое двоеборье профессианалы
Ростов-на-Дону/Ростовская область марта 2019 г.</t>
  </si>
  <si>
    <t>Шевченко Андрей</t>
  </si>
  <si>
    <t>1. Шевченко Андрей</t>
  </si>
  <si>
    <t>Мастера 40 - 44 (05.04.1978)/40</t>
  </si>
  <si>
    <t>124,60</t>
  </si>
  <si>
    <t xml:space="preserve">Одержимость </t>
  </si>
  <si>
    <t>310,0</t>
  </si>
  <si>
    <t>320,0</t>
  </si>
  <si>
    <t>515,0</t>
  </si>
  <si>
    <t>268,6240</t>
  </si>
  <si>
    <t>Жим мн. повт.</t>
  </si>
  <si>
    <t>Вес</t>
  </si>
  <si>
    <t>Повторы</t>
  </si>
  <si>
    <t>Тоннаж</t>
  </si>
  <si>
    <t>Ростовская Крепость Рус
Русский жим любители 55 кг.
Ростов-на-Дону/Ростовская область марта 2019 г.</t>
  </si>
  <si>
    <t>Атлетизм</t>
  </si>
  <si>
    <t>ВЕСОВАЯ КАТЕГОРИЯ   All</t>
  </si>
  <si>
    <t>Супруненко Владислав</t>
  </si>
  <si>
    <t>1. Супруненко Владислав</t>
  </si>
  <si>
    <t>Открытая (15.02.1989)/30</t>
  </si>
  <si>
    <t>96,50</t>
  </si>
  <si>
    <t>Семенцов Александр</t>
  </si>
  <si>
    <t>2. Семенцов Александр</t>
  </si>
  <si>
    <t>Открытая (26.06.1984)/34</t>
  </si>
  <si>
    <t>87,40</t>
  </si>
  <si>
    <t>72,0</t>
  </si>
  <si>
    <t>Живоглядов Евгений</t>
  </si>
  <si>
    <t>3. Живоглядов Евгений</t>
  </si>
  <si>
    <t>Открытая (06.07.1989)/29</t>
  </si>
  <si>
    <t>88,75</t>
  </si>
  <si>
    <t>67,0</t>
  </si>
  <si>
    <t>56,0</t>
  </si>
  <si>
    <t>Муртазалиев Курбан</t>
  </si>
  <si>
    <t>5. Муртазалиев Курбан</t>
  </si>
  <si>
    <t>Открытая (23.05.1992)/26</t>
  </si>
  <si>
    <t>42,0</t>
  </si>
  <si>
    <t>Ирхин Алексей</t>
  </si>
  <si>
    <t>6. Ирхин Алексей</t>
  </si>
  <si>
    <t>Открытая (08.02.1989)/30</t>
  </si>
  <si>
    <t>35,0</t>
  </si>
  <si>
    <t>53,0</t>
  </si>
  <si>
    <t>2. Иващенко Владимир</t>
  </si>
  <si>
    <t>43,0</t>
  </si>
  <si>
    <t xml:space="preserve">Атлетизм </t>
  </si>
  <si>
    <t>All</t>
  </si>
  <si>
    <t>6050,0</t>
  </si>
  <si>
    <t>62,6943</t>
  </si>
  <si>
    <t>3960,0</t>
  </si>
  <si>
    <t>45,3089</t>
  </si>
  <si>
    <t>3685,0</t>
  </si>
  <si>
    <t>41,5211</t>
  </si>
  <si>
    <t>3080,0</t>
  </si>
  <si>
    <t>35,4226</t>
  </si>
  <si>
    <t>2310,0</t>
  </si>
  <si>
    <t>28,8750</t>
  </si>
  <si>
    <t>1925,0</t>
  </si>
  <si>
    <t>26,8667</t>
  </si>
  <si>
    <t>2915,0</t>
  </si>
  <si>
    <t>33,2762</t>
  </si>
  <si>
    <t>33,0550</t>
  </si>
  <si>
    <t>2365,0</t>
  </si>
  <si>
    <t>31,7876</t>
  </si>
  <si>
    <t>Ростовская Крепость Рус
Русский жим любители 75 кг.
Ростов-на-Дону/Ростовская область марта 2019 г.</t>
  </si>
  <si>
    <t>1. Хорошаев Денис</t>
  </si>
  <si>
    <t>32,0</t>
  </si>
  <si>
    <t>2. Поздняков Артем</t>
  </si>
  <si>
    <t>29,0</t>
  </si>
  <si>
    <t>3. Голиков Николай</t>
  </si>
  <si>
    <t>4. Иващенко Владимир</t>
  </si>
  <si>
    <t>Открытая (22.01.1961)/58</t>
  </si>
  <si>
    <t>19,0</t>
  </si>
  <si>
    <t>28,0</t>
  </si>
  <si>
    <t>2175,0</t>
  </si>
  <si>
    <t>26,6544</t>
  </si>
  <si>
    <t>24,8287</t>
  </si>
  <si>
    <t>2400,0</t>
  </si>
  <si>
    <t>23,6104</t>
  </si>
  <si>
    <t>1425,0</t>
  </si>
  <si>
    <t>19,1532</t>
  </si>
  <si>
    <t>2100,0</t>
  </si>
  <si>
    <t>17,5292</t>
  </si>
  <si>
    <t>Ростовская Крепость Биц
Одиночный подъём штанги на бицепс Любители
Ростов-на-Дону/Ростовская область марта 2019 г.</t>
  </si>
  <si>
    <t>Подъем на бицепс</t>
  </si>
  <si>
    <t>1. Большенко Дмитрий</t>
  </si>
  <si>
    <t>37,5</t>
  </si>
  <si>
    <t>Тарханян Телман</t>
  </si>
  <si>
    <t>1. Тарханян Телман</t>
  </si>
  <si>
    <t>Открытая (01.01.1991)/28</t>
  </si>
  <si>
    <t>61,95</t>
  </si>
  <si>
    <t xml:space="preserve">Чалтырь/Ростовская область </t>
  </si>
  <si>
    <t>52,5</t>
  </si>
  <si>
    <t xml:space="preserve">Тумасян Х. </t>
  </si>
  <si>
    <t>Березенко Александр</t>
  </si>
  <si>
    <t>2. Березенко Александр</t>
  </si>
  <si>
    <t>Открытая (20.04.1978)/40</t>
  </si>
  <si>
    <t>65,30</t>
  </si>
  <si>
    <t xml:space="preserve">МетроФитнес </t>
  </si>
  <si>
    <t xml:space="preserve">Дронов В. </t>
  </si>
  <si>
    <t>Вербицкий Сергей</t>
  </si>
  <si>
    <t>3. Вербицкий Сергей</t>
  </si>
  <si>
    <t>Открытая (14.07.1993)/25</t>
  </si>
  <si>
    <t>62,55</t>
  </si>
  <si>
    <t>40,0</t>
  </si>
  <si>
    <t>4. Бисалиев Ануар</t>
  </si>
  <si>
    <t>Открытая (17.05.1991)/27</t>
  </si>
  <si>
    <t>63,75</t>
  </si>
  <si>
    <t>Устинов Дмитрий</t>
  </si>
  <si>
    <t>1. Устинов Дмитрий</t>
  </si>
  <si>
    <t>Юноши 18 - 19 (27.10.2000)/18</t>
  </si>
  <si>
    <t>Алексеев Александр</t>
  </si>
  <si>
    <t>2. Алексеев Александр</t>
  </si>
  <si>
    <t>Юноши 18 - 19 (12.09.2000)/18</t>
  </si>
  <si>
    <t>71,50</t>
  </si>
  <si>
    <t>Шинкарев Николай</t>
  </si>
  <si>
    <t>1. Шинкарев Николай</t>
  </si>
  <si>
    <t>Открытая (02.02.1987)/32</t>
  </si>
  <si>
    <t>72,15</t>
  </si>
  <si>
    <t>2. Катрецкий Андрей</t>
  </si>
  <si>
    <t>Панчев Иван</t>
  </si>
  <si>
    <t>4. Панчев Иван</t>
  </si>
  <si>
    <t>Открытая (05.11.2001)/17</t>
  </si>
  <si>
    <t>70,00</t>
  </si>
  <si>
    <t>Кочегаров Михаил</t>
  </si>
  <si>
    <t>5. Кочегаров Михаил</t>
  </si>
  <si>
    <t>Открытая (30.11.1991)/27</t>
  </si>
  <si>
    <t>71,00</t>
  </si>
  <si>
    <t>Хантимерян Алексей</t>
  </si>
  <si>
    <t>6. Хантимерян Алексей</t>
  </si>
  <si>
    <t>71,05</t>
  </si>
  <si>
    <t>Потаралов Кирилл</t>
  </si>
  <si>
    <t>1. Потаралов Кирилл</t>
  </si>
  <si>
    <t>Юниоры 20 - 23 (26.02.1999)/20</t>
  </si>
  <si>
    <t>79,80</t>
  </si>
  <si>
    <t>Чистяков Евгений</t>
  </si>
  <si>
    <t>1. Чистяков Евгений</t>
  </si>
  <si>
    <t>Открытая (11.04.1993)/25</t>
  </si>
  <si>
    <t>80,20</t>
  </si>
  <si>
    <t xml:space="preserve">Староминская/Краснодарский край </t>
  </si>
  <si>
    <t>2. Прокопенко Александр</t>
  </si>
  <si>
    <t>Штепа Антон</t>
  </si>
  <si>
    <t>3. Штепа Антон</t>
  </si>
  <si>
    <t>Открытая (08.12.1989)/29</t>
  </si>
  <si>
    <t>Тумасян Христофор</t>
  </si>
  <si>
    <t>1. Тумасян Христофор</t>
  </si>
  <si>
    <t>Открытая (30.04.1995)/23</t>
  </si>
  <si>
    <t>84,50</t>
  </si>
  <si>
    <t>Куришко Никита</t>
  </si>
  <si>
    <t>2. Куришко Никита</t>
  </si>
  <si>
    <t>Открытая (20.11.1992)/26</t>
  </si>
  <si>
    <t>Елецкий Сергей</t>
  </si>
  <si>
    <t>3. Елецкий Сергей</t>
  </si>
  <si>
    <t>Открытая (07.07.1984)/34</t>
  </si>
  <si>
    <t>89,20</t>
  </si>
  <si>
    <t>Галызин Дмитрий</t>
  </si>
  <si>
    <t>2. Галызин Дмитрий</t>
  </si>
  <si>
    <t>Открытая (29.11.1996)/22</t>
  </si>
  <si>
    <t>96,40</t>
  </si>
  <si>
    <t>85,0</t>
  </si>
  <si>
    <t>36,9989</t>
  </si>
  <si>
    <t>32,9416</t>
  </si>
  <si>
    <t>32,2023</t>
  </si>
  <si>
    <t>27,7577</t>
  </si>
  <si>
    <t>45,2525</t>
  </si>
  <si>
    <t>42,8438</t>
  </si>
  <si>
    <t>42,6465</t>
  </si>
  <si>
    <t>42,5115</t>
  </si>
  <si>
    <t>42,3240</t>
  </si>
  <si>
    <t>41,1278</t>
  </si>
  <si>
    <t>39,4310</t>
  </si>
  <si>
    <t>39,2752</t>
  </si>
  <si>
    <t>38,8688</t>
  </si>
  <si>
    <t>38,7607</t>
  </si>
  <si>
    <t>38,6975</t>
  </si>
  <si>
    <t>38,6705</t>
  </si>
  <si>
    <t>37,0286</t>
  </si>
  <si>
    <t>36,8938</t>
  </si>
  <si>
    <t>36,4713</t>
  </si>
  <si>
    <t>36,4493</t>
  </si>
  <si>
    <t>33,8388</t>
  </si>
  <si>
    <t>33,8160</t>
  </si>
  <si>
    <t>45,9664</t>
  </si>
  <si>
    <t>Ростовская Крепость Биц
Одиночный подъём штанги на бицепс Профессионалы
Ростов-на-Дону/Ростовская область марта 2019 г.</t>
  </si>
  <si>
    <t>Шинкарев Константин</t>
  </si>
  <si>
    <t>1. Шинкарев Константин</t>
  </si>
  <si>
    <t>Открытая (27.05.1991)/27</t>
  </si>
  <si>
    <t>80,25</t>
  </si>
  <si>
    <t>44,2050</t>
  </si>
  <si>
    <t>Ростовская Крепость Нар
Любители народный жим (1 вес)
Ростов-на-Дону/Ростовская область марта 2019 г.</t>
  </si>
  <si>
    <t>НАП Н.Ж.</t>
  </si>
  <si>
    <t>20,0</t>
  </si>
  <si>
    <t>1. Александров Дмитрий</t>
  </si>
  <si>
    <t>25,0</t>
  </si>
  <si>
    <t>1. Музыченко Павел</t>
  </si>
  <si>
    <t>82,5</t>
  </si>
  <si>
    <t>33,0</t>
  </si>
  <si>
    <t>-. Губин Евгений</t>
  </si>
  <si>
    <t>Мастера 40 - 44 (12.12.1975)/43</t>
  </si>
  <si>
    <t>81,30</t>
  </si>
  <si>
    <t xml:space="preserve">Миллерово/Ростовская область </t>
  </si>
  <si>
    <t>1. Макиенко Андрей</t>
  </si>
  <si>
    <t>89,00</t>
  </si>
  <si>
    <t>22,0</t>
  </si>
  <si>
    <t>Гиль Евгений</t>
  </si>
  <si>
    <t>2. Гиль Евгений</t>
  </si>
  <si>
    <t>Открытая (29.07.1993)/25</t>
  </si>
  <si>
    <t>88,80</t>
  </si>
  <si>
    <t>15,0</t>
  </si>
  <si>
    <t>18,0</t>
  </si>
  <si>
    <t xml:space="preserve">НАП Н.Ж. </t>
  </si>
  <si>
    <t>1500,0</t>
  </si>
  <si>
    <t>1181,4000</t>
  </si>
  <si>
    <t>1800,0</t>
  </si>
  <si>
    <t>1201,5000</t>
  </si>
  <si>
    <t>2722,5</t>
  </si>
  <si>
    <t>2099,8643</t>
  </si>
  <si>
    <t>1812,5</t>
  </si>
  <si>
    <t>1493,1375</t>
  </si>
  <si>
    <t>1980,0</t>
  </si>
  <si>
    <t>1428,9660</t>
  </si>
  <si>
    <t>1710,0</t>
  </si>
  <si>
    <t>1249,6680</t>
  </si>
  <si>
    <t>1282,5</t>
  </si>
  <si>
    <t>1081,6605</t>
  </si>
  <si>
    <t>1350,0</t>
  </si>
  <si>
    <t>976,5900</t>
  </si>
  <si>
    <t>Ростовская Крепость Нар
Любители народный жим (1/2 вес)
Ростов-на-Дону/Ростовская область марта 2019 г.</t>
  </si>
  <si>
    <t>27,5</t>
  </si>
  <si>
    <t>26,0</t>
  </si>
  <si>
    <t>30,0</t>
  </si>
  <si>
    <t>34,0</t>
  </si>
  <si>
    <t>1020,0</t>
  </si>
  <si>
    <t>942,3780</t>
  </si>
  <si>
    <t>715,0</t>
  </si>
  <si>
    <t>715,9295</t>
  </si>
  <si>
    <t>Ростовская Крепость Нар
Профессионалы народный жим (1 вес)
Ростов-на-Дону/Ростовская область марта 2019 г.</t>
  </si>
  <si>
    <t>97,5</t>
  </si>
  <si>
    <t>Беспалов Вадим</t>
  </si>
  <si>
    <t>1. Беспалов Вадим</t>
  </si>
  <si>
    <t>Открытая (20.04.1979)/39</t>
  </si>
  <si>
    <t>113,85</t>
  </si>
  <si>
    <t>2875,0</t>
  </si>
  <si>
    <t>1969,6626</t>
  </si>
  <si>
    <t>2730,0</t>
  </si>
  <si>
    <t>1862,6789</t>
  </si>
  <si>
    <t>0</t>
  </si>
  <si>
    <t xml:space="preserve">1. Соловьев Сергей </t>
  </si>
  <si>
    <t>1. Хомяков Александр</t>
  </si>
  <si>
    <t>2. Вирченко Андрей</t>
  </si>
  <si>
    <t>2. Фисунов Антон</t>
  </si>
  <si>
    <t>3. Кочетков Роман</t>
  </si>
  <si>
    <t>1. Елецкий Сергей</t>
  </si>
  <si>
    <t>2. Титов Павел</t>
  </si>
  <si>
    <t>1. Николенко Сергей</t>
  </si>
  <si>
    <t>1. Мирзоев Андрей</t>
  </si>
  <si>
    <t>ДГТУ</t>
  </si>
  <si>
    <t>Юниоры 20-23 (17.06.1995)/23</t>
  </si>
  <si>
    <t>Открытая (01.08.1991)/27</t>
  </si>
  <si>
    <t>Открытая (17.05.1993)/25</t>
  </si>
  <si>
    <t>Открытая (01.07.1989)/29</t>
  </si>
  <si>
    <t>Открытая (11.02.1990)/29</t>
  </si>
  <si>
    <t>Хомяков Александр</t>
  </si>
  <si>
    <t>Вирченко Андрей</t>
  </si>
  <si>
    <t>Фисунов Антон</t>
  </si>
  <si>
    <t>Титов Павел</t>
  </si>
  <si>
    <t>Изюмов А.</t>
  </si>
  <si>
    <t>Осипов К.</t>
  </si>
  <si>
    <t>Николенко С.</t>
  </si>
  <si>
    <t>RHINODON</t>
  </si>
  <si>
    <t>Кобилинский Д.</t>
  </si>
  <si>
    <t>Тяга мн. повт.</t>
  </si>
  <si>
    <t>Ростовская Крепость Рус
Русская тяга Профессионалы 100 кг.
Ростов-на-Дону/Ростовская область марта 2019 г.</t>
  </si>
  <si>
    <t>Изюмов А.И.</t>
  </si>
  <si>
    <t>Щеколкин А.Д.</t>
  </si>
  <si>
    <t>Дрожко П.А.</t>
  </si>
  <si>
    <t>Баканов А.В.</t>
  </si>
  <si>
    <t>Талько А.А.</t>
  </si>
  <si>
    <t>Ростовская Крепость Рус
Русская тяга любители 100 кг.
Ростов-на-Дону/Ростовская область марта 2019 г.</t>
  </si>
  <si>
    <t>ВЕСОВАЯ КАТЕГОРИЯ  67,5</t>
  </si>
  <si>
    <t>ВЕСОВАЯ КАТЕГОРИЯ  75</t>
  </si>
  <si>
    <t>ВЕСОВАЯ КАТЕГОРИЯ  82,5</t>
  </si>
  <si>
    <t>ВЕСОВАЯ КАТЕГОРИЯ  90</t>
  </si>
  <si>
    <t>ВЕСОВАЯ КАТЕГОРИЯ  100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</si>
</sst>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1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3" fillId="0" borderId="13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49" fontId="6" fillId="0" borderId="14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12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left"/>
    </xf>
    <xf numFmtId="49" fontId="0" fillId="0" borderId="11" xfId="0" applyNumberFormat="1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26" fillId="0" borderId="0" xfId="55">
      <alignment/>
      <protection/>
    </xf>
    <xf numFmtId="0" fontId="26" fillId="0" borderId="0" xfId="56">
      <alignment/>
      <protection/>
    </xf>
    <xf numFmtId="1" fontId="0" fillId="0" borderId="14" xfId="0" applyNumberFormat="1" applyFill="1" applyBorder="1" applyAlignment="1">
      <alignment horizontal="center"/>
    </xf>
    <xf numFmtId="164" fontId="26" fillId="0" borderId="0" xfId="53" applyNumberFormat="1" applyAlignment="1">
      <alignment horizontal="center"/>
      <protection/>
    </xf>
    <xf numFmtId="2" fontId="0" fillId="0" borderId="14" xfId="0" applyNumberFormat="1" applyFont="1" applyFill="1" applyBorder="1" applyAlignment="1">
      <alignment horizontal="center"/>
    </xf>
    <xf numFmtId="1" fontId="26" fillId="0" borderId="0" xfId="54" applyNumberFormat="1" applyAlignment="1">
      <alignment horizontal="center"/>
      <protection/>
    </xf>
    <xf numFmtId="164" fontId="26" fillId="0" borderId="0" xfId="53" applyNumberFormat="1" applyFont="1" applyAlignment="1">
      <alignment horizontal="center"/>
      <protection/>
    </xf>
    <xf numFmtId="1" fontId="26" fillId="0" borderId="0" xfId="54" applyNumberFormat="1" applyFont="1" applyAlignment="1">
      <alignment horizontal="center"/>
      <protection/>
    </xf>
    <xf numFmtId="49" fontId="0" fillId="0" borderId="0" xfId="0" applyNumberForma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left" indent="1"/>
    </xf>
    <xf numFmtId="49" fontId="5" fillId="0" borderId="0" xfId="0" applyNumberFormat="1" applyFont="1" applyBorder="1" applyAlignment="1">
      <alignment horizontal="center"/>
    </xf>
    <xf numFmtId="164" fontId="26" fillId="0" borderId="0" xfId="53" applyNumberFormat="1" applyAlignment="1">
      <alignment horizontal="center" wrapText="1"/>
      <protection/>
    </xf>
    <xf numFmtId="49" fontId="5" fillId="0" borderId="15" xfId="0" applyNumberFormat="1" applyFont="1" applyFill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9" fillId="0" borderId="16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23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Обычный 4" xfId="53"/>
    <cellStyle name="Обычный 6" xfId="54"/>
    <cellStyle name="Обычный 7" xfId="55"/>
    <cellStyle name="Обычный 8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10.25390625" style="4" bestFit="1" customWidth="1"/>
    <col min="5" max="5" width="21.75390625" style="4" bestFit="1" customWidth="1"/>
    <col min="6" max="6" width="34.00390625" style="4" bestFit="1" customWidth="1"/>
    <col min="7" max="7" width="5.625" style="3" bestFit="1" customWidth="1"/>
    <col min="8" max="8" width="4.625" style="27" bestFit="1" customWidth="1"/>
    <col min="9" max="9" width="7.75390625" style="4" bestFit="1" customWidth="1"/>
    <col min="10" max="10" width="9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56" t="s">
        <v>912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66" t="s">
        <v>866</v>
      </c>
      <c r="E3" s="66" t="s">
        <v>4</v>
      </c>
      <c r="F3" s="66" t="s">
        <v>8</v>
      </c>
      <c r="G3" s="66" t="s">
        <v>688</v>
      </c>
      <c r="H3" s="66"/>
      <c r="I3" s="66" t="s">
        <v>691</v>
      </c>
      <c r="J3" s="66" t="s">
        <v>3</v>
      </c>
      <c r="K3" s="67" t="s">
        <v>2</v>
      </c>
    </row>
    <row r="4" spans="1:11" s="1" customFormat="1" ht="21" customHeight="1" thickBot="1">
      <c r="A4" s="63"/>
      <c r="B4" s="65"/>
      <c r="C4" s="65"/>
      <c r="D4" s="65"/>
      <c r="E4" s="65"/>
      <c r="F4" s="65"/>
      <c r="G4" s="5" t="s">
        <v>689</v>
      </c>
      <c r="H4" s="26" t="s">
        <v>690</v>
      </c>
      <c r="I4" s="65"/>
      <c r="J4" s="65"/>
      <c r="K4" s="68"/>
    </row>
    <row r="5" spans="1:10" ht="15">
      <c r="A5" s="52" t="s">
        <v>137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12" t="s">
        <v>423</v>
      </c>
      <c r="B6" s="12" t="s">
        <v>424</v>
      </c>
      <c r="C6" s="12" t="s">
        <v>330</v>
      </c>
      <c r="D6" s="12" t="str">
        <f>"0,6823"</f>
        <v>0,6823</v>
      </c>
      <c r="E6" s="12" t="s">
        <v>183</v>
      </c>
      <c r="F6" s="12" t="s">
        <v>184</v>
      </c>
      <c r="G6" s="13" t="s">
        <v>913</v>
      </c>
      <c r="H6" s="31" t="s">
        <v>749</v>
      </c>
      <c r="I6" s="12" t="str">
        <f>"2730,0"</f>
        <v>2730,0</v>
      </c>
      <c r="J6" s="13" t="str">
        <f>"1862,6789"</f>
        <v>1862,6789</v>
      </c>
      <c r="K6" s="12" t="s">
        <v>29</v>
      </c>
    </row>
    <row r="8" spans="1:10" ht="15">
      <c r="A8" s="54" t="s">
        <v>142</v>
      </c>
      <c r="B8" s="55"/>
      <c r="C8" s="55"/>
      <c r="D8" s="55"/>
      <c r="E8" s="55"/>
      <c r="F8" s="55"/>
      <c r="G8" s="55"/>
      <c r="H8" s="55"/>
      <c r="I8" s="55"/>
      <c r="J8" s="55"/>
    </row>
    <row r="9" spans="1:11" ht="12.75">
      <c r="A9" s="12" t="s">
        <v>915</v>
      </c>
      <c r="B9" s="12" t="s">
        <v>916</v>
      </c>
      <c r="C9" s="12" t="s">
        <v>917</v>
      </c>
      <c r="D9" s="12" t="str">
        <f>"0,6851"</f>
        <v>0,6851</v>
      </c>
      <c r="E9" s="12" t="s">
        <v>19</v>
      </c>
      <c r="F9" s="12" t="s">
        <v>20</v>
      </c>
      <c r="G9" s="13" t="s">
        <v>28</v>
      </c>
      <c r="H9" s="31" t="s">
        <v>869</v>
      </c>
      <c r="I9" s="12" t="str">
        <f>"2875,0"</f>
        <v>2875,0</v>
      </c>
      <c r="J9" s="13" t="str">
        <f>"1969,6626"</f>
        <v>1969,6626</v>
      </c>
      <c r="K9" s="12" t="s">
        <v>29</v>
      </c>
    </row>
    <row r="11" spans="5:6" ht="15">
      <c r="E11" s="15" t="s">
        <v>70</v>
      </c>
      <c r="F11" s="49" t="s">
        <v>950</v>
      </c>
    </row>
    <row r="12" spans="5:6" ht="15">
      <c r="E12" s="15" t="s">
        <v>71</v>
      </c>
      <c r="F12" s="49" t="s">
        <v>949</v>
      </c>
    </row>
    <row r="13" spans="5:6" ht="15">
      <c r="E13" s="15" t="s">
        <v>72</v>
      </c>
      <c r="F13" s="49" t="s">
        <v>950</v>
      </c>
    </row>
    <row r="14" spans="5:6" ht="15">
      <c r="E14" s="15" t="s">
        <v>73</v>
      </c>
      <c r="F14" s="49" t="s">
        <v>951</v>
      </c>
    </row>
    <row r="15" spans="5:6" ht="15">
      <c r="E15" s="15" t="s">
        <v>73</v>
      </c>
      <c r="F15" s="49" t="s">
        <v>952</v>
      </c>
    </row>
    <row r="16" spans="5:6" ht="15">
      <c r="E16" s="15" t="s">
        <v>74</v>
      </c>
      <c r="F16" s="49" t="s">
        <v>953</v>
      </c>
    </row>
    <row r="17" ht="15">
      <c r="E17" s="15"/>
    </row>
    <row r="19" spans="1:2" ht="18">
      <c r="A19" s="16" t="s">
        <v>75</v>
      </c>
      <c r="B19" s="16"/>
    </row>
    <row r="20" spans="1:2" ht="15">
      <c r="A20" s="17" t="s">
        <v>91</v>
      </c>
      <c r="B20" s="17"/>
    </row>
    <row r="21" spans="1:2" ht="14.25">
      <c r="A21" s="19"/>
      <c r="B21" s="20" t="s">
        <v>77</v>
      </c>
    </row>
    <row r="22" spans="1:5" ht="15">
      <c r="A22" s="21" t="s">
        <v>78</v>
      </c>
      <c r="B22" s="21" t="s">
        <v>79</v>
      </c>
      <c r="C22" s="21" t="s">
        <v>80</v>
      </c>
      <c r="D22" s="21" t="s">
        <v>81</v>
      </c>
      <c r="E22" s="21" t="s">
        <v>886</v>
      </c>
    </row>
    <row r="23" spans="1:5" ht="12.75">
      <c r="A23" s="18" t="s">
        <v>914</v>
      </c>
      <c r="B23" s="4" t="s">
        <v>77</v>
      </c>
      <c r="C23" s="4" t="s">
        <v>152</v>
      </c>
      <c r="D23" s="4" t="s">
        <v>918</v>
      </c>
      <c r="E23" s="22" t="s">
        <v>919</v>
      </c>
    </row>
    <row r="24" spans="1:5" ht="12.75">
      <c r="A24" s="18" t="s">
        <v>422</v>
      </c>
      <c r="B24" s="4" t="s">
        <v>77</v>
      </c>
      <c r="C24" s="4" t="s">
        <v>159</v>
      </c>
      <c r="D24" s="4" t="s">
        <v>920</v>
      </c>
      <c r="E24" s="22" t="s">
        <v>921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F8" sqref="F8:F13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5" width="7.75390625" style="4" bestFit="1" customWidth="1"/>
    <col min="16" max="16" width="8.625" style="3" bestFit="1" customWidth="1"/>
    <col min="17" max="17" width="16.125" style="4" bestFit="1" customWidth="1"/>
    <col min="18" max="16384" width="9.125" style="3" customWidth="1"/>
  </cols>
  <sheetData>
    <row r="1" spans="1:17" s="2" customFormat="1" ht="28.5" customHeight="1">
      <c r="A1" s="56" t="s">
        <v>678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12</v>
      </c>
      <c r="H3" s="66"/>
      <c r="I3" s="66"/>
      <c r="J3" s="66"/>
      <c r="K3" s="66" t="s">
        <v>13</v>
      </c>
      <c r="L3" s="66"/>
      <c r="M3" s="66"/>
      <c r="N3" s="66"/>
      <c r="O3" s="66" t="s">
        <v>1</v>
      </c>
      <c r="P3" s="66" t="s">
        <v>3</v>
      </c>
      <c r="Q3" s="67" t="s">
        <v>2</v>
      </c>
    </row>
    <row r="4" spans="1:17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65"/>
      <c r="P4" s="65"/>
      <c r="Q4" s="68"/>
    </row>
    <row r="5" spans="1:16" ht="15">
      <c r="A5" s="52" t="s">
        <v>142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2.75">
      <c r="A6" s="12" t="s">
        <v>680</v>
      </c>
      <c r="B6" s="12" t="s">
        <v>681</v>
      </c>
      <c r="C6" s="12" t="s">
        <v>682</v>
      </c>
      <c r="D6" s="12" t="str">
        <f>"0,5216"</f>
        <v>0,5216</v>
      </c>
      <c r="E6" s="12" t="s">
        <v>683</v>
      </c>
      <c r="F6" s="12" t="s">
        <v>20</v>
      </c>
      <c r="G6" s="13" t="s">
        <v>105</v>
      </c>
      <c r="H6" s="13" t="s">
        <v>437</v>
      </c>
      <c r="I6" s="14" t="s">
        <v>438</v>
      </c>
      <c r="J6" s="14"/>
      <c r="K6" s="13" t="s">
        <v>684</v>
      </c>
      <c r="L6" s="14" t="s">
        <v>685</v>
      </c>
      <c r="M6" s="14" t="s">
        <v>685</v>
      </c>
      <c r="N6" s="14"/>
      <c r="O6" s="12" t="str">
        <f>"515,0"</f>
        <v>515,0</v>
      </c>
      <c r="P6" s="13" t="str">
        <f>"268,6240"</f>
        <v>268,6240</v>
      </c>
      <c r="Q6" s="12" t="s">
        <v>29</v>
      </c>
    </row>
    <row r="8" spans="5:6" ht="15">
      <c r="E8" s="15" t="s">
        <v>70</v>
      </c>
      <c r="F8" s="49" t="s">
        <v>950</v>
      </c>
    </row>
    <row r="9" spans="5:6" ht="15">
      <c r="E9" s="15" t="s">
        <v>71</v>
      </c>
      <c r="F9" s="49" t="s">
        <v>949</v>
      </c>
    </row>
    <row r="10" spans="5:6" ht="15">
      <c r="E10" s="15" t="s">
        <v>72</v>
      </c>
      <c r="F10" s="49" t="s">
        <v>950</v>
      </c>
    </row>
    <row r="11" spans="5:6" ht="15">
      <c r="E11" s="15" t="s">
        <v>73</v>
      </c>
      <c r="F11" s="49" t="s">
        <v>951</v>
      </c>
    </row>
    <row r="12" spans="5:6" ht="15">
      <c r="E12" s="15" t="s">
        <v>73</v>
      </c>
      <c r="F12" s="49" t="s">
        <v>952</v>
      </c>
    </row>
    <row r="13" spans="5:6" ht="15">
      <c r="E13" s="15" t="s">
        <v>74</v>
      </c>
      <c r="F13" s="49" t="s">
        <v>953</v>
      </c>
    </row>
    <row r="14" ht="15">
      <c r="E14" s="15"/>
    </row>
    <row r="16" spans="1:2" ht="18">
      <c r="A16" s="16" t="s">
        <v>75</v>
      </c>
      <c r="B16" s="16"/>
    </row>
    <row r="17" spans="1:2" ht="15">
      <c r="A17" s="17" t="s">
        <v>91</v>
      </c>
      <c r="B17" s="17"/>
    </row>
    <row r="18" spans="1:2" ht="14.25">
      <c r="A18" s="19"/>
      <c r="B18" s="20" t="s">
        <v>106</v>
      </c>
    </row>
    <row r="19" spans="1:5" ht="15">
      <c r="A19" s="21" t="s">
        <v>78</v>
      </c>
      <c r="B19" s="21" t="s">
        <v>79</v>
      </c>
      <c r="C19" s="21" t="s">
        <v>80</v>
      </c>
      <c r="D19" s="21" t="s">
        <v>81</v>
      </c>
      <c r="E19" s="21" t="s">
        <v>82</v>
      </c>
    </row>
    <row r="20" spans="1:5" ht="12.75">
      <c r="A20" s="18" t="s">
        <v>679</v>
      </c>
      <c r="B20" s="4" t="s">
        <v>664</v>
      </c>
      <c r="C20" s="4" t="s">
        <v>152</v>
      </c>
      <c r="D20" s="4" t="s">
        <v>686</v>
      </c>
      <c r="E20" s="22" t="s">
        <v>687</v>
      </c>
    </row>
  </sheetData>
  <sheetProtection/>
  <mergeCells count="13">
    <mergeCell ref="O3:O4"/>
    <mergeCell ref="P3:P4"/>
    <mergeCell ref="Q3:Q4"/>
    <mergeCell ref="A5:P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F11" sqref="F11:F16"/>
    </sheetView>
  </sheetViews>
  <sheetFormatPr defaultColWidth="9.125" defaultRowHeight="12.75"/>
  <cols>
    <col min="1" max="1" width="24.75390625" style="4" bestFit="1" customWidth="1"/>
    <col min="2" max="2" width="27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7.1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5" width="7.75390625" style="4" bestFit="1" customWidth="1"/>
    <col min="16" max="16" width="8.625" style="3" bestFit="1" customWidth="1"/>
    <col min="17" max="17" width="11.00390625" style="4" bestFit="1" customWidth="1"/>
    <col min="18" max="16384" width="9.125" style="3" customWidth="1"/>
  </cols>
  <sheetData>
    <row r="1" spans="1:17" s="2" customFormat="1" ht="28.5" customHeight="1">
      <c r="A1" s="56" t="s">
        <v>667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8"/>
    </row>
    <row r="2" spans="1:17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</row>
    <row r="3" spans="1:17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12</v>
      </c>
      <c r="H3" s="66"/>
      <c r="I3" s="66"/>
      <c r="J3" s="66"/>
      <c r="K3" s="66" t="s">
        <v>13</v>
      </c>
      <c r="L3" s="66"/>
      <c r="M3" s="66"/>
      <c r="N3" s="66"/>
      <c r="O3" s="66" t="s">
        <v>1</v>
      </c>
      <c r="P3" s="66" t="s">
        <v>3</v>
      </c>
      <c r="Q3" s="67" t="s">
        <v>2</v>
      </c>
    </row>
    <row r="4" spans="1:17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65"/>
      <c r="P4" s="65"/>
      <c r="Q4" s="68"/>
    </row>
    <row r="5" spans="1:16" ht="15">
      <c r="A5" s="52" t="s">
        <v>98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</row>
    <row r="6" spans="1:17" ht="12.75">
      <c r="A6" s="12" t="s">
        <v>669</v>
      </c>
      <c r="B6" s="12" t="s">
        <v>670</v>
      </c>
      <c r="C6" s="12" t="s">
        <v>671</v>
      </c>
      <c r="D6" s="12" t="str">
        <f>"0,7602"</f>
        <v>0,7602</v>
      </c>
      <c r="E6" s="12" t="s">
        <v>183</v>
      </c>
      <c r="F6" s="12" t="s">
        <v>184</v>
      </c>
      <c r="G6" s="13" t="s">
        <v>177</v>
      </c>
      <c r="H6" s="13" t="s">
        <v>25</v>
      </c>
      <c r="I6" s="14" t="s">
        <v>170</v>
      </c>
      <c r="J6" s="14"/>
      <c r="K6" s="13" t="s">
        <v>41</v>
      </c>
      <c r="L6" s="13" t="s">
        <v>27</v>
      </c>
      <c r="M6" s="14"/>
      <c r="N6" s="14"/>
      <c r="O6" s="12" t="str">
        <f>"170,0"</f>
        <v>170,0</v>
      </c>
      <c r="P6" s="13" t="str">
        <f>"146,0344"</f>
        <v>146,0344</v>
      </c>
      <c r="Q6" s="12" t="s">
        <v>185</v>
      </c>
    </row>
    <row r="8" spans="1:16" ht="15">
      <c r="A8" s="54" t="s">
        <v>54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</row>
    <row r="9" spans="1:17" ht="12.75">
      <c r="A9" s="12" t="s">
        <v>673</v>
      </c>
      <c r="B9" s="12" t="s">
        <v>674</v>
      </c>
      <c r="C9" s="12" t="s">
        <v>675</v>
      </c>
      <c r="D9" s="12" t="str">
        <f>"0,6543"</f>
        <v>0,6543</v>
      </c>
      <c r="E9" s="12" t="s">
        <v>183</v>
      </c>
      <c r="F9" s="12" t="s">
        <v>184</v>
      </c>
      <c r="G9" s="13" t="s">
        <v>27</v>
      </c>
      <c r="H9" s="14" t="s">
        <v>130</v>
      </c>
      <c r="I9" s="14" t="s">
        <v>130</v>
      </c>
      <c r="J9" s="14"/>
      <c r="K9" s="13" t="s">
        <v>50</v>
      </c>
      <c r="L9" s="13" t="s">
        <v>52</v>
      </c>
      <c r="M9" s="14" t="s">
        <v>69</v>
      </c>
      <c r="N9" s="14"/>
      <c r="O9" s="12" t="str">
        <f>"260,0"</f>
        <v>260,0</v>
      </c>
      <c r="P9" s="13" t="str">
        <f>"170,1180"</f>
        <v>170,1180</v>
      </c>
      <c r="Q9" s="12" t="s">
        <v>185</v>
      </c>
    </row>
    <row r="11" spans="5:6" ht="15">
      <c r="E11" s="15" t="s">
        <v>70</v>
      </c>
      <c r="F11" s="49" t="s">
        <v>950</v>
      </c>
    </row>
    <row r="12" spans="5:6" ht="15">
      <c r="E12" s="15" t="s">
        <v>71</v>
      </c>
      <c r="F12" s="49" t="s">
        <v>949</v>
      </c>
    </row>
    <row r="13" spans="5:6" ht="15">
      <c r="E13" s="15" t="s">
        <v>72</v>
      </c>
      <c r="F13" s="49" t="s">
        <v>950</v>
      </c>
    </row>
    <row r="14" spans="5:6" ht="15">
      <c r="E14" s="15" t="s">
        <v>73</v>
      </c>
      <c r="F14" s="49" t="s">
        <v>951</v>
      </c>
    </row>
    <row r="15" spans="5:6" ht="15">
      <c r="E15" s="15" t="s">
        <v>73</v>
      </c>
      <c r="F15" s="49" t="s">
        <v>952</v>
      </c>
    </row>
    <row r="16" spans="5:6" ht="15">
      <c r="E16" s="15" t="s">
        <v>74</v>
      </c>
      <c r="F16" s="49" t="s">
        <v>953</v>
      </c>
    </row>
    <row r="17" ht="15">
      <c r="E17" s="15"/>
    </row>
    <row r="19" spans="1:2" ht="18">
      <c r="A19" s="16" t="s">
        <v>75</v>
      </c>
      <c r="B19" s="16"/>
    </row>
    <row r="20" spans="1:2" ht="15">
      <c r="A20" s="17" t="s">
        <v>91</v>
      </c>
      <c r="B20" s="17"/>
    </row>
    <row r="21" spans="1:2" ht="14.25">
      <c r="A21" s="19"/>
      <c r="B21" s="20" t="s">
        <v>349</v>
      </c>
    </row>
    <row r="22" spans="1:5" ht="15">
      <c r="A22" s="21" t="s">
        <v>78</v>
      </c>
      <c r="B22" s="21" t="s">
        <v>79</v>
      </c>
      <c r="C22" s="21" t="s">
        <v>80</v>
      </c>
      <c r="D22" s="21" t="s">
        <v>81</v>
      </c>
      <c r="E22" s="21" t="s">
        <v>82</v>
      </c>
    </row>
    <row r="23" spans="1:5" ht="12.75">
      <c r="A23" s="18" t="s">
        <v>668</v>
      </c>
      <c r="B23" s="4" t="s">
        <v>353</v>
      </c>
      <c r="C23" s="4" t="s">
        <v>108</v>
      </c>
      <c r="D23" s="4" t="s">
        <v>60</v>
      </c>
      <c r="E23" s="22" t="s">
        <v>676</v>
      </c>
    </row>
    <row r="25" spans="1:2" ht="14.25">
      <c r="A25" s="19"/>
      <c r="B25" s="20" t="s">
        <v>77</v>
      </c>
    </row>
    <row r="26" spans="1:5" ht="15">
      <c r="A26" s="21" t="s">
        <v>78</v>
      </c>
      <c r="B26" s="21" t="s">
        <v>79</v>
      </c>
      <c r="C26" s="21" t="s">
        <v>80</v>
      </c>
      <c r="D26" s="21" t="s">
        <v>81</v>
      </c>
      <c r="E26" s="21" t="s">
        <v>82</v>
      </c>
    </row>
    <row r="27" spans="1:5" ht="12.75">
      <c r="A27" s="18" t="s">
        <v>672</v>
      </c>
      <c r="B27" s="4" t="s">
        <v>77</v>
      </c>
      <c r="C27" s="4" t="s">
        <v>92</v>
      </c>
      <c r="D27" s="4" t="s">
        <v>87</v>
      </c>
      <c r="E27" s="22" t="s">
        <v>677</v>
      </c>
    </row>
  </sheetData>
  <sheetProtection/>
  <mergeCells count="14">
    <mergeCell ref="A5:P5"/>
    <mergeCell ref="A8:P8"/>
    <mergeCell ref="A1:Q2"/>
    <mergeCell ref="A3:A4"/>
    <mergeCell ref="B3:B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8" sqref="F8:F13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7.25390625" style="4" bestFit="1" customWidth="1"/>
    <col min="7" max="7" width="5.625" style="3" bestFit="1" customWidth="1"/>
    <col min="8" max="9" width="2.1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6" t="s">
        <v>658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11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132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660</v>
      </c>
      <c r="B6" s="12" t="s">
        <v>661</v>
      </c>
      <c r="C6" s="12" t="s">
        <v>662</v>
      </c>
      <c r="D6" s="12" t="str">
        <f>"0,5869"</f>
        <v>0,5869</v>
      </c>
      <c r="E6" s="12" t="s">
        <v>663</v>
      </c>
      <c r="F6" s="12" t="s">
        <v>397</v>
      </c>
      <c r="G6" s="13" t="s">
        <v>421</v>
      </c>
      <c r="H6" s="14"/>
      <c r="I6" s="14"/>
      <c r="J6" s="14"/>
      <c r="K6" s="12" t="str">
        <f>"225,5"</f>
        <v>225,5</v>
      </c>
      <c r="L6" s="13" t="str">
        <f>"136,4487"</f>
        <v>136,4487</v>
      </c>
      <c r="M6" s="12" t="s">
        <v>29</v>
      </c>
    </row>
    <row r="8" spans="5:6" ht="15">
      <c r="E8" s="15" t="s">
        <v>70</v>
      </c>
      <c r="F8" s="49" t="s">
        <v>950</v>
      </c>
    </row>
    <row r="9" spans="5:6" ht="15">
      <c r="E9" s="15" t="s">
        <v>71</v>
      </c>
      <c r="F9" s="49" t="s">
        <v>949</v>
      </c>
    </row>
    <row r="10" spans="5:6" ht="15">
      <c r="E10" s="15" t="s">
        <v>72</v>
      </c>
      <c r="F10" s="49" t="s">
        <v>950</v>
      </c>
    </row>
    <row r="11" spans="5:6" ht="15">
      <c r="E11" s="15" t="s">
        <v>73</v>
      </c>
      <c r="F11" s="49" t="s">
        <v>951</v>
      </c>
    </row>
    <row r="12" spans="5:6" ht="15">
      <c r="E12" s="15" t="s">
        <v>73</v>
      </c>
      <c r="F12" s="49" t="s">
        <v>952</v>
      </c>
    </row>
    <row r="13" spans="5:6" ht="15">
      <c r="E13" s="15" t="s">
        <v>74</v>
      </c>
      <c r="F13" s="49" t="s">
        <v>953</v>
      </c>
    </row>
    <row r="14" ht="15">
      <c r="E14" s="15"/>
    </row>
    <row r="16" spans="1:2" ht="18">
      <c r="A16" s="16" t="s">
        <v>75</v>
      </c>
      <c r="B16" s="16"/>
    </row>
    <row r="17" spans="1:2" ht="15">
      <c r="A17" s="17" t="s">
        <v>91</v>
      </c>
      <c r="B17" s="17"/>
    </row>
    <row r="18" spans="1:2" ht="14.25">
      <c r="A18" s="19"/>
      <c r="B18" s="20" t="s">
        <v>106</v>
      </c>
    </row>
    <row r="19" spans="1:5" ht="15">
      <c r="A19" s="21" t="s">
        <v>78</v>
      </c>
      <c r="B19" s="21" t="s">
        <v>79</v>
      </c>
      <c r="C19" s="21" t="s">
        <v>80</v>
      </c>
      <c r="D19" s="21" t="s">
        <v>81</v>
      </c>
      <c r="E19" s="21" t="s">
        <v>82</v>
      </c>
    </row>
    <row r="20" spans="1:5" ht="12.75">
      <c r="A20" s="18" t="s">
        <v>659</v>
      </c>
      <c r="B20" s="4" t="s">
        <v>664</v>
      </c>
      <c r="C20" s="4" t="s">
        <v>162</v>
      </c>
      <c r="D20" s="4" t="s">
        <v>665</v>
      </c>
      <c r="E20" s="22" t="s">
        <v>666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F8" sqref="F8:F13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7.87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6" t="s">
        <v>656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13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98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100</v>
      </c>
      <c r="B6" s="12" t="s">
        <v>101</v>
      </c>
      <c r="C6" s="12" t="s">
        <v>102</v>
      </c>
      <c r="D6" s="12" t="str">
        <f>"0,7263"</f>
        <v>0,7263</v>
      </c>
      <c r="E6" s="12" t="s">
        <v>19</v>
      </c>
      <c r="F6" s="12" t="s">
        <v>103</v>
      </c>
      <c r="G6" s="13" t="s">
        <v>59</v>
      </c>
      <c r="H6" s="13" t="s">
        <v>60</v>
      </c>
      <c r="I6" s="13" t="s">
        <v>105</v>
      </c>
      <c r="J6" s="14"/>
      <c r="K6" s="12" t="str">
        <f>"190,0"</f>
        <v>190,0</v>
      </c>
      <c r="L6" s="13" t="str">
        <f>"234,5949"</f>
        <v>234,5949</v>
      </c>
      <c r="M6" s="12" t="s">
        <v>29</v>
      </c>
    </row>
    <row r="8" spans="5:6" ht="15">
      <c r="E8" s="15" t="s">
        <v>70</v>
      </c>
      <c r="F8" s="49" t="s">
        <v>950</v>
      </c>
    </row>
    <row r="9" spans="5:6" ht="15">
      <c r="E9" s="15" t="s">
        <v>71</v>
      </c>
      <c r="F9" s="49" t="s">
        <v>949</v>
      </c>
    </row>
    <row r="10" spans="5:6" ht="15">
      <c r="E10" s="15" t="s">
        <v>72</v>
      </c>
      <c r="F10" s="49" t="s">
        <v>950</v>
      </c>
    </row>
    <row r="11" spans="5:6" ht="15">
      <c r="E11" s="15" t="s">
        <v>73</v>
      </c>
      <c r="F11" s="49" t="s">
        <v>951</v>
      </c>
    </row>
    <row r="12" spans="5:6" ht="15">
      <c r="E12" s="15" t="s">
        <v>73</v>
      </c>
      <c r="F12" s="49" t="s">
        <v>952</v>
      </c>
    </row>
    <row r="13" spans="5:6" ht="15">
      <c r="E13" s="15" t="s">
        <v>74</v>
      </c>
      <c r="F13" s="49" t="s">
        <v>953</v>
      </c>
    </row>
    <row r="14" ht="15">
      <c r="E14" s="15"/>
    </row>
    <row r="16" spans="1:2" ht="18">
      <c r="A16" s="16" t="s">
        <v>75</v>
      </c>
      <c r="B16" s="16"/>
    </row>
    <row r="17" spans="1:2" ht="15">
      <c r="A17" s="17" t="s">
        <v>91</v>
      </c>
      <c r="B17" s="17"/>
    </row>
    <row r="18" spans="1:2" ht="14.25">
      <c r="A18" s="19"/>
      <c r="B18" s="20" t="s">
        <v>106</v>
      </c>
    </row>
    <row r="19" spans="1:5" ht="15">
      <c r="A19" s="21" t="s">
        <v>78</v>
      </c>
      <c r="B19" s="21" t="s">
        <v>79</v>
      </c>
      <c r="C19" s="21" t="s">
        <v>80</v>
      </c>
      <c r="D19" s="21" t="s">
        <v>81</v>
      </c>
      <c r="E19" s="21" t="s">
        <v>82</v>
      </c>
    </row>
    <row r="20" spans="1:5" ht="12.75">
      <c r="A20" s="18" t="s">
        <v>99</v>
      </c>
      <c r="B20" s="4" t="s">
        <v>107</v>
      </c>
      <c r="C20" s="4" t="s">
        <v>108</v>
      </c>
      <c r="D20" s="4" t="s">
        <v>105</v>
      </c>
      <c r="E20" s="22" t="s">
        <v>657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119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8.87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6" t="s">
        <v>503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13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504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505</v>
      </c>
      <c r="B6" s="12" t="s">
        <v>506</v>
      </c>
      <c r="C6" s="12" t="s">
        <v>507</v>
      </c>
      <c r="D6" s="12" t="str">
        <f>"1,1313"</f>
        <v>1,1313</v>
      </c>
      <c r="E6" s="12" t="s">
        <v>508</v>
      </c>
      <c r="F6" s="12" t="s">
        <v>509</v>
      </c>
      <c r="G6" s="14" t="s">
        <v>21</v>
      </c>
      <c r="H6" s="14" t="s">
        <v>21</v>
      </c>
      <c r="I6" s="14" t="s">
        <v>41</v>
      </c>
      <c r="J6" s="14"/>
      <c r="K6" s="12" t="str">
        <f>"0.00"</f>
        <v>0.00</v>
      </c>
      <c r="L6" s="13" t="str">
        <f>"0,0000"</f>
        <v>0,0000</v>
      </c>
      <c r="M6" s="12" t="s">
        <v>510</v>
      </c>
    </row>
    <row r="8" spans="1:12" ht="15">
      <c r="A8" s="54" t="s">
        <v>14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2" t="s">
        <v>512</v>
      </c>
      <c r="B9" s="12" t="s">
        <v>513</v>
      </c>
      <c r="C9" s="12" t="s">
        <v>514</v>
      </c>
      <c r="D9" s="12" t="str">
        <f>"0,9701"</f>
        <v>0,9701</v>
      </c>
      <c r="E9" s="12" t="s">
        <v>183</v>
      </c>
      <c r="F9" s="12" t="s">
        <v>184</v>
      </c>
      <c r="G9" s="13" t="s">
        <v>49</v>
      </c>
      <c r="H9" s="13" t="s">
        <v>27</v>
      </c>
      <c r="I9" s="14" t="s">
        <v>130</v>
      </c>
      <c r="J9" s="14"/>
      <c r="K9" s="12" t="str">
        <f>"110,0"</f>
        <v>110,0</v>
      </c>
      <c r="L9" s="13" t="str">
        <f>"106,7110"</f>
        <v>106,7110</v>
      </c>
      <c r="M9" s="12" t="s">
        <v>185</v>
      </c>
    </row>
    <row r="11" spans="1:12" ht="15">
      <c r="A11" s="54" t="s">
        <v>44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6" t="s">
        <v>516</v>
      </c>
      <c r="B12" s="6" t="s">
        <v>517</v>
      </c>
      <c r="C12" s="6" t="s">
        <v>518</v>
      </c>
      <c r="D12" s="6" t="str">
        <f>"0,9242"</f>
        <v>0,9242</v>
      </c>
      <c r="E12" s="6" t="s">
        <v>207</v>
      </c>
      <c r="F12" s="6" t="s">
        <v>20</v>
      </c>
      <c r="G12" s="7" t="s">
        <v>131</v>
      </c>
      <c r="H12" s="7" t="s">
        <v>151</v>
      </c>
      <c r="I12" s="8" t="s">
        <v>66</v>
      </c>
      <c r="J12" s="8"/>
      <c r="K12" s="6" t="str">
        <f>"135,0"</f>
        <v>135,0</v>
      </c>
      <c r="L12" s="7" t="str">
        <f>"124,7670"</f>
        <v>124,7670</v>
      </c>
      <c r="M12" s="6" t="s">
        <v>209</v>
      </c>
    </row>
    <row r="13" spans="1:13" ht="12.75">
      <c r="A13" s="9" t="s">
        <v>520</v>
      </c>
      <c r="B13" s="9" t="s">
        <v>521</v>
      </c>
      <c r="C13" s="9" t="s">
        <v>522</v>
      </c>
      <c r="D13" s="9" t="str">
        <f>"0,9222"</f>
        <v>0,9222</v>
      </c>
      <c r="E13" s="9" t="s">
        <v>258</v>
      </c>
      <c r="F13" s="9" t="s">
        <v>259</v>
      </c>
      <c r="G13" s="10" t="s">
        <v>28</v>
      </c>
      <c r="H13" s="10" t="s">
        <v>131</v>
      </c>
      <c r="I13" s="11" t="s">
        <v>50</v>
      </c>
      <c r="J13" s="11"/>
      <c r="K13" s="9" t="str">
        <f>"125,0"</f>
        <v>125,0</v>
      </c>
      <c r="L13" s="10" t="str">
        <f>"115,2750"</f>
        <v>115,2750</v>
      </c>
      <c r="M13" s="9" t="s">
        <v>262</v>
      </c>
    </row>
    <row r="15" spans="1:12" ht="15">
      <c r="A15" s="54" t="s">
        <v>112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ht="12.75">
      <c r="A16" s="12" t="s">
        <v>524</v>
      </c>
      <c r="B16" s="12" t="s">
        <v>525</v>
      </c>
      <c r="C16" s="12" t="s">
        <v>526</v>
      </c>
      <c r="D16" s="12" t="str">
        <f>"0,8986"</f>
        <v>0,8986</v>
      </c>
      <c r="E16" s="37" t="s">
        <v>258</v>
      </c>
      <c r="F16" s="12" t="s">
        <v>259</v>
      </c>
      <c r="G16" s="13" t="s">
        <v>41</v>
      </c>
      <c r="H16" s="14" t="s">
        <v>49</v>
      </c>
      <c r="I16" s="13" t="s">
        <v>49</v>
      </c>
      <c r="J16" s="14"/>
      <c r="K16" s="12" t="str">
        <f>"100,0"</f>
        <v>100,0</v>
      </c>
      <c r="L16" s="13" t="str">
        <f>"89,8650"</f>
        <v>89,8650</v>
      </c>
      <c r="M16" s="12" t="s">
        <v>262</v>
      </c>
    </row>
    <row r="18" spans="1:12" ht="15">
      <c r="A18" s="54" t="s">
        <v>98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 ht="12.75">
      <c r="A19" s="12" t="s">
        <v>528</v>
      </c>
      <c r="B19" s="12" t="s">
        <v>529</v>
      </c>
      <c r="C19" s="12" t="s">
        <v>530</v>
      </c>
      <c r="D19" s="12" t="str">
        <f>"0,8421"</f>
        <v>0,8421</v>
      </c>
      <c r="E19" s="12" t="s">
        <v>258</v>
      </c>
      <c r="F19" s="12" t="s">
        <v>259</v>
      </c>
      <c r="G19" s="13" t="s">
        <v>66</v>
      </c>
      <c r="H19" s="13" t="s">
        <v>277</v>
      </c>
      <c r="I19" s="14" t="s">
        <v>59</v>
      </c>
      <c r="J19" s="14"/>
      <c r="K19" s="12" t="str">
        <f>"155,0"</f>
        <v>155,0</v>
      </c>
      <c r="L19" s="13" t="str">
        <f>"130,5255"</f>
        <v>130,5255</v>
      </c>
      <c r="M19" s="12" t="s">
        <v>262</v>
      </c>
    </row>
    <row r="21" spans="1:12" ht="15">
      <c r="A21" s="54" t="s">
        <v>118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 ht="12.75">
      <c r="A22" s="12" t="s">
        <v>532</v>
      </c>
      <c r="B22" s="12" t="s">
        <v>533</v>
      </c>
      <c r="C22" s="12" t="s">
        <v>534</v>
      </c>
      <c r="D22" s="12" t="str">
        <f>"0,7223"</f>
        <v>0,7223</v>
      </c>
      <c r="E22" s="12" t="s">
        <v>19</v>
      </c>
      <c r="F22" s="12" t="s">
        <v>20</v>
      </c>
      <c r="G22" s="13" t="s">
        <v>52</v>
      </c>
      <c r="H22" s="14" t="s">
        <v>68</v>
      </c>
      <c r="I22" s="14" t="s">
        <v>68</v>
      </c>
      <c r="J22" s="14"/>
      <c r="K22" s="12" t="str">
        <f>"150,0"</f>
        <v>150,0</v>
      </c>
      <c r="L22" s="13" t="str">
        <f>"108,3450"</f>
        <v>108,3450</v>
      </c>
      <c r="M22" s="12" t="s">
        <v>234</v>
      </c>
    </row>
    <row r="24" spans="1:12" ht="15">
      <c r="A24" s="54" t="s">
        <v>54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3" ht="12.75">
      <c r="A25" s="12" t="s">
        <v>536</v>
      </c>
      <c r="B25" s="12" t="s">
        <v>537</v>
      </c>
      <c r="C25" s="12" t="s">
        <v>538</v>
      </c>
      <c r="D25" s="12" t="str">
        <f>"0,6939"</f>
        <v>0,6939</v>
      </c>
      <c r="E25" s="37" t="s">
        <v>539</v>
      </c>
      <c r="F25" s="12" t="s">
        <v>540</v>
      </c>
      <c r="G25" s="13" t="s">
        <v>243</v>
      </c>
      <c r="H25" s="13" t="s">
        <v>541</v>
      </c>
      <c r="I25" s="13" t="s">
        <v>61</v>
      </c>
      <c r="J25" s="14"/>
      <c r="K25" s="12" t="str">
        <f>"180,0"</f>
        <v>180,0</v>
      </c>
      <c r="L25" s="13" t="str">
        <f>"124,9110"</f>
        <v>124,9110</v>
      </c>
      <c r="M25" s="12" t="s">
        <v>542</v>
      </c>
    </row>
    <row r="27" spans="1:12" ht="15">
      <c r="A27" s="54" t="s">
        <v>14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</row>
    <row r="28" spans="1:13" ht="12.75">
      <c r="A28" s="12" t="s">
        <v>544</v>
      </c>
      <c r="B28" s="12" t="s">
        <v>545</v>
      </c>
      <c r="C28" s="12" t="s">
        <v>546</v>
      </c>
      <c r="D28" s="12" t="str">
        <f>"1,2561"</f>
        <v>1,2561</v>
      </c>
      <c r="E28" s="12" t="s">
        <v>258</v>
      </c>
      <c r="F28" s="12" t="s">
        <v>259</v>
      </c>
      <c r="G28" s="13" t="s">
        <v>40</v>
      </c>
      <c r="H28" s="14" t="s">
        <v>41</v>
      </c>
      <c r="I28" s="13" t="s">
        <v>41</v>
      </c>
      <c r="J28" s="14"/>
      <c r="K28" s="12" t="str">
        <f>"90,0"</f>
        <v>90,0</v>
      </c>
      <c r="L28" s="13" t="str">
        <f>"139,0503"</f>
        <v>139,0503</v>
      </c>
      <c r="M28" s="12" t="s">
        <v>262</v>
      </c>
    </row>
    <row r="30" spans="1:12" ht="15">
      <c r="A30" s="54" t="s">
        <v>112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3" ht="12.75">
      <c r="A31" s="12" t="s">
        <v>548</v>
      </c>
      <c r="B31" s="12" t="s">
        <v>549</v>
      </c>
      <c r="C31" s="12" t="s">
        <v>550</v>
      </c>
      <c r="D31" s="12" t="str">
        <f>"0,8135"</f>
        <v>0,8135</v>
      </c>
      <c r="E31" s="12" t="s">
        <v>183</v>
      </c>
      <c r="F31" s="12" t="s">
        <v>184</v>
      </c>
      <c r="G31" s="14" t="s">
        <v>41</v>
      </c>
      <c r="H31" s="13" t="s">
        <v>551</v>
      </c>
      <c r="I31" s="13" t="s">
        <v>27</v>
      </c>
      <c r="J31" s="14"/>
      <c r="K31" s="12" t="str">
        <f>"110,0"</f>
        <v>110,0</v>
      </c>
      <c r="L31" s="13" t="str">
        <f>"105,5923"</f>
        <v>105,5923</v>
      </c>
      <c r="M31" s="12" t="s">
        <v>185</v>
      </c>
    </row>
    <row r="33" spans="1:12" ht="15">
      <c r="A33" s="54" t="s">
        <v>98</v>
      </c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</row>
    <row r="34" spans="1:13" ht="12.75">
      <c r="A34" s="6" t="s">
        <v>553</v>
      </c>
      <c r="B34" s="6" t="s">
        <v>554</v>
      </c>
      <c r="C34" s="6" t="s">
        <v>102</v>
      </c>
      <c r="D34" s="6" t="str">
        <f>"0,7263"</f>
        <v>0,7263</v>
      </c>
      <c r="E34" s="6" t="s">
        <v>183</v>
      </c>
      <c r="F34" s="6" t="s">
        <v>184</v>
      </c>
      <c r="G34" s="7" t="s">
        <v>49</v>
      </c>
      <c r="H34" s="8" t="s">
        <v>555</v>
      </c>
      <c r="I34" s="7" t="s">
        <v>555</v>
      </c>
      <c r="J34" s="8"/>
      <c r="K34" s="6" t="str">
        <f>"112,5"</f>
        <v>112,5</v>
      </c>
      <c r="L34" s="7" t="str">
        <f>"96,4163"</f>
        <v>96,4163</v>
      </c>
      <c r="M34" s="6" t="s">
        <v>185</v>
      </c>
    </row>
    <row r="35" spans="1:13" ht="12.75">
      <c r="A35" s="23" t="s">
        <v>557</v>
      </c>
      <c r="B35" s="23" t="s">
        <v>558</v>
      </c>
      <c r="C35" s="23" t="s">
        <v>559</v>
      </c>
      <c r="D35" s="23" t="str">
        <f>"0,7352"</f>
        <v>0,7352</v>
      </c>
      <c r="E35" s="23" t="s">
        <v>276</v>
      </c>
      <c r="F35" s="23" t="s">
        <v>20</v>
      </c>
      <c r="G35" s="25" t="s">
        <v>495</v>
      </c>
      <c r="H35" s="24" t="s">
        <v>421</v>
      </c>
      <c r="I35" s="24" t="s">
        <v>421</v>
      </c>
      <c r="J35" s="24"/>
      <c r="K35" s="23" t="str">
        <f>"207,5"</f>
        <v>207,5</v>
      </c>
      <c r="L35" s="25" t="str">
        <f>"172,3860"</f>
        <v>172,3860</v>
      </c>
      <c r="M35" s="23" t="s">
        <v>29</v>
      </c>
    </row>
    <row r="36" spans="1:13" ht="12.75">
      <c r="A36" s="9" t="s">
        <v>557</v>
      </c>
      <c r="B36" s="9" t="s">
        <v>560</v>
      </c>
      <c r="C36" s="9" t="s">
        <v>559</v>
      </c>
      <c r="D36" s="9" t="str">
        <f>"0,7352"</f>
        <v>0,7352</v>
      </c>
      <c r="E36" s="9" t="s">
        <v>276</v>
      </c>
      <c r="F36" s="9" t="s">
        <v>20</v>
      </c>
      <c r="G36" s="10" t="s">
        <v>495</v>
      </c>
      <c r="H36" s="11" t="s">
        <v>421</v>
      </c>
      <c r="I36" s="11" t="s">
        <v>421</v>
      </c>
      <c r="J36" s="11"/>
      <c r="K36" s="9" t="str">
        <f>"207,5"</f>
        <v>207,5</v>
      </c>
      <c r="L36" s="10" t="str">
        <f>"152,5540"</f>
        <v>152,5540</v>
      </c>
      <c r="M36" s="9" t="s">
        <v>29</v>
      </c>
    </row>
    <row r="38" spans="1:12" ht="15">
      <c r="A38" s="54" t="s">
        <v>118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3" ht="12.75">
      <c r="A39" s="6" t="s">
        <v>561</v>
      </c>
      <c r="B39" s="6" t="s">
        <v>562</v>
      </c>
      <c r="C39" s="6" t="s">
        <v>563</v>
      </c>
      <c r="D39" s="6" t="str">
        <f>"0,6652"</f>
        <v>0,6652</v>
      </c>
      <c r="E39" s="6" t="s">
        <v>19</v>
      </c>
      <c r="F39" s="6" t="s">
        <v>397</v>
      </c>
      <c r="G39" s="8" t="s">
        <v>59</v>
      </c>
      <c r="H39" s="8" t="s">
        <v>69</v>
      </c>
      <c r="I39" s="8" t="s">
        <v>69</v>
      </c>
      <c r="J39" s="8"/>
      <c r="K39" s="6" t="str">
        <f>"0.00"</f>
        <v>0.00</v>
      </c>
      <c r="L39" s="7" t="str">
        <f>"0,0000"</f>
        <v>0,0000</v>
      </c>
      <c r="M39" s="6" t="s">
        <v>564</v>
      </c>
    </row>
    <row r="40" spans="1:13" ht="12.75">
      <c r="A40" s="23" t="s">
        <v>566</v>
      </c>
      <c r="B40" s="23" t="s">
        <v>567</v>
      </c>
      <c r="C40" s="23" t="s">
        <v>568</v>
      </c>
      <c r="D40" s="23" t="str">
        <f>"0,6741"</f>
        <v>0,6741</v>
      </c>
      <c r="E40" s="23" t="s">
        <v>19</v>
      </c>
      <c r="F40" s="23" t="s">
        <v>20</v>
      </c>
      <c r="G40" s="25" t="s">
        <v>412</v>
      </c>
      <c r="H40" s="25" t="s">
        <v>282</v>
      </c>
      <c r="I40" s="25" t="s">
        <v>283</v>
      </c>
      <c r="J40" s="24"/>
      <c r="K40" s="23" t="str">
        <f>"197,5"</f>
        <v>197,5</v>
      </c>
      <c r="L40" s="25" t="str">
        <f>"133,1347"</f>
        <v>133,1347</v>
      </c>
      <c r="M40" s="23" t="s">
        <v>29</v>
      </c>
    </row>
    <row r="41" spans="1:13" ht="12.75">
      <c r="A41" s="9" t="s">
        <v>570</v>
      </c>
      <c r="B41" s="9" t="s">
        <v>571</v>
      </c>
      <c r="C41" s="9" t="s">
        <v>572</v>
      </c>
      <c r="D41" s="9" t="str">
        <f>"0,6839"</f>
        <v>0,6839</v>
      </c>
      <c r="E41" s="9" t="s">
        <v>573</v>
      </c>
      <c r="F41" s="9" t="s">
        <v>20</v>
      </c>
      <c r="G41" s="11" t="s">
        <v>412</v>
      </c>
      <c r="H41" s="10" t="s">
        <v>412</v>
      </c>
      <c r="I41" s="11" t="s">
        <v>445</v>
      </c>
      <c r="J41" s="11"/>
      <c r="K41" s="9" t="str">
        <f>"185,0"</f>
        <v>185,0</v>
      </c>
      <c r="L41" s="10" t="str">
        <f>"126,5215"</f>
        <v>126,5215</v>
      </c>
      <c r="M41" s="9" t="s">
        <v>29</v>
      </c>
    </row>
    <row r="43" spans="1:12" ht="15">
      <c r="A43" s="54" t="s">
        <v>54</v>
      </c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</row>
    <row r="44" spans="1:13" ht="12.75">
      <c r="A44" s="6" t="s">
        <v>575</v>
      </c>
      <c r="B44" s="6" t="s">
        <v>576</v>
      </c>
      <c r="C44" s="6" t="s">
        <v>577</v>
      </c>
      <c r="D44" s="6" t="str">
        <f>"0,6495"</f>
        <v>0,6495</v>
      </c>
      <c r="E44" s="6" t="s">
        <v>258</v>
      </c>
      <c r="F44" s="6" t="s">
        <v>259</v>
      </c>
      <c r="G44" s="7" t="s">
        <v>151</v>
      </c>
      <c r="H44" s="7" t="s">
        <v>66</v>
      </c>
      <c r="I44" s="8" t="s">
        <v>277</v>
      </c>
      <c r="J44" s="8"/>
      <c r="K44" s="6" t="str">
        <f>"145,0"</f>
        <v>145,0</v>
      </c>
      <c r="L44" s="7" t="str">
        <f>"106,4206"</f>
        <v>106,4206</v>
      </c>
      <c r="M44" s="6" t="s">
        <v>262</v>
      </c>
    </row>
    <row r="45" spans="1:13" ht="12.75">
      <c r="A45" s="23" t="s">
        <v>579</v>
      </c>
      <c r="B45" s="23" t="s">
        <v>580</v>
      </c>
      <c r="C45" s="23" t="s">
        <v>581</v>
      </c>
      <c r="D45" s="23" t="str">
        <f>"0,6312"</f>
        <v>0,6312</v>
      </c>
      <c r="E45" s="23" t="s">
        <v>123</v>
      </c>
      <c r="F45" s="23" t="s">
        <v>124</v>
      </c>
      <c r="G45" s="25" t="s">
        <v>60</v>
      </c>
      <c r="H45" s="25" t="s">
        <v>582</v>
      </c>
      <c r="I45" s="25" t="s">
        <v>283</v>
      </c>
      <c r="J45" s="24"/>
      <c r="K45" s="23" t="str">
        <f>"197,5"</f>
        <v>197,5</v>
      </c>
      <c r="L45" s="25" t="str">
        <f>"125,9086"</f>
        <v>125,9086</v>
      </c>
      <c r="M45" s="23" t="s">
        <v>125</v>
      </c>
    </row>
    <row r="46" spans="1:13" ht="12.75">
      <c r="A46" s="23" t="s">
        <v>584</v>
      </c>
      <c r="B46" s="23" t="s">
        <v>585</v>
      </c>
      <c r="C46" s="23" t="s">
        <v>586</v>
      </c>
      <c r="D46" s="23" t="str">
        <f>"0,6251"</f>
        <v>0,6251</v>
      </c>
      <c r="E46" s="23" t="s">
        <v>276</v>
      </c>
      <c r="F46" s="23" t="s">
        <v>20</v>
      </c>
      <c r="G46" s="25" t="s">
        <v>587</v>
      </c>
      <c r="H46" s="25" t="s">
        <v>588</v>
      </c>
      <c r="I46" s="25" t="s">
        <v>484</v>
      </c>
      <c r="J46" s="24"/>
      <c r="K46" s="23" t="str">
        <f>"240,0"</f>
        <v>240,0</v>
      </c>
      <c r="L46" s="25" t="str">
        <f>"150,0240"</f>
        <v>150,0240</v>
      </c>
      <c r="M46" s="23" t="s">
        <v>29</v>
      </c>
    </row>
    <row r="47" spans="1:13" ht="12.75">
      <c r="A47" s="23" t="s">
        <v>590</v>
      </c>
      <c r="B47" s="23" t="s">
        <v>591</v>
      </c>
      <c r="C47" s="23" t="s">
        <v>592</v>
      </c>
      <c r="D47" s="23" t="str">
        <f>"0,6409"</f>
        <v>0,6409</v>
      </c>
      <c r="E47" s="23" t="s">
        <v>19</v>
      </c>
      <c r="F47" s="23" t="s">
        <v>20</v>
      </c>
      <c r="G47" s="24" t="s">
        <v>105</v>
      </c>
      <c r="H47" s="25" t="s">
        <v>284</v>
      </c>
      <c r="I47" s="25" t="s">
        <v>587</v>
      </c>
      <c r="J47" s="24"/>
      <c r="K47" s="23" t="str">
        <f>"217,5"</f>
        <v>217,5</v>
      </c>
      <c r="L47" s="25" t="str">
        <f>"139,3849"</f>
        <v>139,3849</v>
      </c>
      <c r="M47" s="23" t="s">
        <v>29</v>
      </c>
    </row>
    <row r="48" spans="1:13" ht="12.75">
      <c r="A48" s="23" t="s">
        <v>594</v>
      </c>
      <c r="B48" s="23" t="s">
        <v>595</v>
      </c>
      <c r="C48" s="23" t="s">
        <v>469</v>
      </c>
      <c r="D48" s="23" t="str">
        <f>"0,6301"</f>
        <v>0,6301</v>
      </c>
      <c r="E48" s="23" t="s">
        <v>258</v>
      </c>
      <c r="F48" s="23" t="s">
        <v>259</v>
      </c>
      <c r="G48" s="25" t="s">
        <v>60</v>
      </c>
      <c r="H48" s="25" t="s">
        <v>105</v>
      </c>
      <c r="I48" s="24" t="s">
        <v>284</v>
      </c>
      <c r="J48" s="24"/>
      <c r="K48" s="23" t="str">
        <f>"190,0"</f>
        <v>190,0</v>
      </c>
      <c r="L48" s="25" t="str">
        <f>"119,7190"</f>
        <v>119,7190</v>
      </c>
      <c r="M48" s="23" t="s">
        <v>262</v>
      </c>
    </row>
    <row r="49" spans="1:13" ht="12.75">
      <c r="A49" s="23" t="s">
        <v>597</v>
      </c>
      <c r="B49" s="23" t="s">
        <v>598</v>
      </c>
      <c r="C49" s="23" t="s">
        <v>599</v>
      </c>
      <c r="D49" s="23" t="str">
        <f>"0,6347"</f>
        <v>0,6347</v>
      </c>
      <c r="E49" s="23" t="s">
        <v>276</v>
      </c>
      <c r="F49" s="23" t="s">
        <v>20</v>
      </c>
      <c r="G49" s="24" t="s">
        <v>69</v>
      </c>
      <c r="H49" s="25" t="s">
        <v>60</v>
      </c>
      <c r="I49" s="24" t="s">
        <v>582</v>
      </c>
      <c r="J49" s="24"/>
      <c r="K49" s="23" t="str">
        <f>"170,0"</f>
        <v>170,0</v>
      </c>
      <c r="L49" s="25" t="str">
        <f>"107,8990"</f>
        <v>107,8990</v>
      </c>
      <c r="M49" s="23" t="s">
        <v>29</v>
      </c>
    </row>
    <row r="50" spans="1:13" ht="12.75">
      <c r="A50" s="9" t="s">
        <v>601</v>
      </c>
      <c r="B50" s="9" t="s">
        <v>602</v>
      </c>
      <c r="C50" s="9" t="s">
        <v>603</v>
      </c>
      <c r="D50" s="9" t="str">
        <f>"0,6224"</f>
        <v>0,6224</v>
      </c>
      <c r="E50" s="9" t="s">
        <v>19</v>
      </c>
      <c r="F50" s="9" t="s">
        <v>20</v>
      </c>
      <c r="G50" s="10" t="s">
        <v>105</v>
      </c>
      <c r="H50" s="10" t="s">
        <v>445</v>
      </c>
      <c r="I50" s="11" t="s">
        <v>284</v>
      </c>
      <c r="J50" s="11"/>
      <c r="K50" s="9" t="str">
        <f>"195,0"</f>
        <v>195,0</v>
      </c>
      <c r="L50" s="10" t="str">
        <f>"142,3647"</f>
        <v>142,3647</v>
      </c>
      <c r="M50" s="9" t="s">
        <v>29</v>
      </c>
    </row>
    <row r="52" spans="1:12" ht="15">
      <c r="A52" s="54" t="s">
        <v>132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</row>
    <row r="53" spans="1:13" ht="12.75">
      <c r="A53" s="6" t="s">
        <v>605</v>
      </c>
      <c r="B53" s="6" t="s">
        <v>606</v>
      </c>
      <c r="C53" s="6" t="s">
        <v>607</v>
      </c>
      <c r="D53" s="6" t="str">
        <f>"0,5861"</f>
        <v>0,5861</v>
      </c>
      <c r="E53" s="6" t="s">
        <v>183</v>
      </c>
      <c r="F53" s="6" t="s">
        <v>184</v>
      </c>
      <c r="G53" s="7" t="s">
        <v>59</v>
      </c>
      <c r="H53" s="7" t="s">
        <v>541</v>
      </c>
      <c r="I53" s="8" t="s">
        <v>61</v>
      </c>
      <c r="J53" s="8"/>
      <c r="K53" s="6" t="str">
        <f>"172,5"</f>
        <v>172,5</v>
      </c>
      <c r="L53" s="7" t="str">
        <f>"119,3007"</f>
        <v>119,3007</v>
      </c>
      <c r="M53" s="6" t="s">
        <v>185</v>
      </c>
    </row>
    <row r="54" spans="1:13" ht="12.75">
      <c r="A54" s="23" t="s">
        <v>609</v>
      </c>
      <c r="B54" s="23" t="s">
        <v>610</v>
      </c>
      <c r="C54" s="23" t="s">
        <v>611</v>
      </c>
      <c r="D54" s="23" t="str">
        <f>"0,5982"</f>
        <v>0,5982</v>
      </c>
      <c r="E54" s="23" t="s">
        <v>123</v>
      </c>
      <c r="F54" s="23" t="s">
        <v>124</v>
      </c>
      <c r="G54" s="24" t="s">
        <v>419</v>
      </c>
      <c r="H54" s="25" t="s">
        <v>474</v>
      </c>
      <c r="I54" s="24" t="s">
        <v>430</v>
      </c>
      <c r="J54" s="24"/>
      <c r="K54" s="23" t="str">
        <f>"225,0"</f>
        <v>225,0</v>
      </c>
      <c r="L54" s="25" t="str">
        <f>"134,5950"</f>
        <v>134,5950</v>
      </c>
      <c r="M54" s="23" t="s">
        <v>125</v>
      </c>
    </row>
    <row r="55" spans="1:13" ht="12.75">
      <c r="A55" s="9" t="s">
        <v>612</v>
      </c>
      <c r="B55" s="9" t="s">
        <v>297</v>
      </c>
      <c r="C55" s="9" t="s">
        <v>298</v>
      </c>
      <c r="D55" s="9" t="str">
        <f>"0,5980"</f>
        <v>0,5980</v>
      </c>
      <c r="E55" s="9" t="s">
        <v>123</v>
      </c>
      <c r="F55" s="9" t="s">
        <v>124</v>
      </c>
      <c r="G55" s="10" t="s">
        <v>419</v>
      </c>
      <c r="H55" s="11" t="s">
        <v>474</v>
      </c>
      <c r="I55" s="11" t="s">
        <v>474</v>
      </c>
      <c r="J55" s="11"/>
      <c r="K55" s="9" t="str">
        <f>"215,0"</f>
        <v>215,0</v>
      </c>
      <c r="L55" s="10" t="str">
        <f>"128,5700"</f>
        <v>128,5700</v>
      </c>
      <c r="M55" s="9" t="s">
        <v>125</v>
      </c>
    </row>
    <row r="57" spans="1:12" ht="15">
      <c r="A57" s="54" t="s">
        <v>137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3" ht="12.75">
      <c r="A58" s="6" t="s">
        <v>614</v>
      </c>
      <c r="B58" s="6" t="s">
        <v>615</v>
      </c>
      <c r="C58" s="6" t="s">
        <v>616</v>
      </c>
      <c r="D58" s="6" t="str">
        <f>"0,5638"</f>
        <v>0,5638</v>
      </c>
      <c r="E58" s="6" t="s">
        <v>258</v>
      </c>
      <c r="F58" s="6" t="s">
        <v>259</v>
      </c>
      <c r="G58" s="7" t="s">
        <v>430</v>
      </c>
      <c r="H58" s="7" t="s">
        <v>452</v>
      </c>
      <c r="I58" s="8" t="s">
        <v>87</v>
      </c>
      <c r="J58" s="8"/>
      <c r="K58" s="6" t="str">
        <f>"250,0"</f>
        <v>250,0</v>
      </c>
      <c r="L58" s="7" t="str">
        <f>"140,9375"</f>
        <v>140,9375</v>
      </c>
      <c r="M58" s="6" t="s">
        <v>262</v>
      </c>
    </row>
    <row r="59" spans="1:13" ht="12.75">
      <c r="A59" s="9" t="s">
        <v>618</v>
      </c>
      <c r="B59" s="9" t="s">
        <v>619</v>
      </c>
      <c r="C59" s="9" t="s">
        <v>620</v>
      </c>
      <c r="D59" s="9" t="str">
        <f>"0,5586"</f>
        <v>0,5586</v>
      </c>
      <c r="E59" s="9" t="s">
        <v>34</v>
      </c>
      <c r="F59" s="9" t="s">
        <v>20</v>
      </c>
      <c r="G59" s="10" t="s">
        <v>437</v>
      </c>
      <c r="H59" s="10" t="s">
        <v>420</v>
      </c>
      <c r="I59" s="11" t="s">
        <v>431</v>
      </c>
      <c r="J59" s="11"/>
      <c r="K59" s="9" t="str">
        <f>"220,0"</f>
        <v>220,0</v>
      </c>
      <c r="L59" s="10" t="str">
        <f>"122,8920"</f>
        <v>122,8920</v>
      </c>
      <c r="M59" s="9" t="s">
        <v>43</v>
      </c>
    </row>
    <row r="61" spans="1:12" ht="15">
      <c r="A61" s="54" t="s">
        <v>142</v>
      </c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</row>
    <row r="62" spans="1:13" ht="12.75">
      <c r="A62" s="12" t="s">
        <v>622</v>
      </c>
      <c r="B62" s="12" t="s">
        <v>623</v>
      </c>
      <c r="C62" s="12" t="s">
        <v>624</v>
      </c>
      <c r="D62" s="12" t="str">
        <f>"0,5313"</f>
        <v>0,5313</v>
      </c>
      <c r="E62" s="12" t="s">
        <v>19</v>
      </c>
      <c r="F62" s="12" t="s">
        <v>259</v>
      </c>
      <c r="G62" s="13" t="s">
        <v>452</v>
      </c>
      <c r="H62" s="14" t="s">
        <v>87</v>
      </c>
      <c r="I62" s="14" t="s">
        <v>87</v>
      </c>
      <c r="J62" s="14"/>
      <c r="K62" s="12" t="str">
        <f>"250,0"</f>
        <v>250,0</v>
      </c>
      <c r="L62" s="13" t="str">
        <f>"132,8250"</f>
        <v>132,8250</v>
      </c>
      <c r="M62" s="12" t="s">
        <v>29</v>
      </c>
    </row>
    <row r="64" spans="5:6" ht="15">
      <c r="E64" s="15" t="s">
        <v>70</v>
      </c>
      <c r="F64" s="49" t="s">
        <v>950</v>
      </c>
    </row>
    <row r="65" spans="5:6" ht="15">
      <c r="E65" s="15" t="s">
        <v>71</v>
      </c>
      <c r="F65" s="49" t="s">
        <v>949</v>
      </c>
    </row>
    <row r="66" spans="5:6" ht="15">
      <c r="E66" s="15" t="s">
        <v>72</v>
      </c>
      <c r="F66" s="49" t="s">
        <v>950</v>
      </c>
    </row>
    <row r="67" spans="5:6" ht="15">
      <c r="E67" s="15" t="s">
        <v>73</v>
      </c>
      <c r="F67" s="49" t="s">
        <v>951</v>
      </c>
    </row>
    <row r="68" spans="5:6" ht="15">
      <c r="E68" s="15" t="s">
        <v>73</v>
      </c>
      <c r="F68" s="49" t="s">
        <v>952</v>
      </c>
    </row>
    <row r="69" spans="5:6" ht="15">
      <c r="E69" s="15" t="s">
        <v>74</v>
      </c>
      <c r="F69" s="49" t="s">
        <v>953</v>
      </c>
    </row>
    <row r="70" ht="15">
      <c r="E70" s="15"/>
    </row>
    <row r="72" spans="1:2" ht="18">
      <c r="A72" s="16" t="s">
        <v>75</v>
      </c>
      <c r="B72" s="16"/>
    </row>
    <row r="73" spans="1:2" ht="15">
      <c r="A73" s="17" t="s">
        <v>76</v>
      </c>
      <c r="B73" s="17"/>
    </row>
    <row r="74" spans="1:2" ht="14.25">
      <c r="A74" s="19"/>
      <c r="B74" s="20" t="s">
        <v>625</v>
      </c>
    </row>
    <row r="75" spans="1:5" ht="15">
      <c r="A75" s="21" t="s">
        <v>78</v>
      </c>
      <c r="B75" s="21" t="s">
        <v>79</v>
      </c>
      <c r="C75" s="21" t="s">
        <v>80</v>
      </c>
      <c r="D75" s="21" t="s">
        <v>81</v>
      </c>
      <c r="E75" s="21" t="s">
        <v>82</v>
      </c>
    </row>
    <row r="76" spans="1:5" ht="12.75">
      <c r="A76" s="18" t="s">
        <v>511</v>
      </c>
      <c r="B76" s="4" t="s">
        <v>356</v>
      </c>
      <c r="C76" s="4" t="s">
        <v>86</v>
      </c>
      <c r="D76" s="4" t="s">
        <v>27</v>
      </c>
      <c r="E76" s="22" t="s">
        <v>626</v>
      </c>
    </row>
    <row r="78" spans="1:2" ht="14.25">
      <c r="A78" s="19"/>
      <c r="B78" s="20" t="s">
        <v>77</v>
      </c>
    </row>
    <row r="79" spans="1:5" ht="15">
      <c r="A79" s="21" t="s">
        <v>78</v>
      </c>
      <c r="B79" s="21" t="s">
        <v>79</v>
      </c>
      <c r="C79" s="21" t="s">
        <v>80</v>
      </c>
      <c r="D79" s="21" t="s">
        <v>81</v>
      </c>
      <c r="E79" s="21" t="s">
        <v>82</v>
      </c>
    </row>
    <row r="80" spans="1:5" ht="12.75">
      <c r="A80" s="18" t="s">
        <v>527</v>
      </c>
      <c r="B80" s="4" t="s">
        <v>77</v>
      </c>
      <c r="C80" s="4" t="s">
        <v>108</v>
      </c>
      <c r="D80" s="4" t="s">
        <v>277</v>
      </c>
      <c r="E80" s="22" t="s">
        <v>627</v>
      </c>
    </row>
    <row r="81" spans="1:5" ht="12.75">
      <c r="A81" s="18" t="s">
        <v>535</v>
      </c>
      <c r="B81" s="4" t="s">
        <v>77</v>
      </c>
      <c r="C81" s="4" t="s">
        <v>92</v>
      </c>
      <c r="D81" s="4" t="s">
        <v>61</v>
      </c>
      <c r="E81" s="22" t="s">
        <v>628</v>
      </c>
    </row>
    <row r="82" spans="1:5" ht="12.75">
      <c r="A82" s="18" t="s">
        <v>515</v>
      </c>
      <c r="B82" s="4" t="s">
        <v>77</v>
      </c>
      <c r="C82" s="4" t="s">
        <v>83</v>
      </c>
      <c r="D82" s="4" t="s">
        <v>151</v>
      </c>
      <c r="E82" s="22" t="s">
        <v>629</v>
      </c>
    </row>
    <row r="83" spans="1:5" ht="12.75">
      <c r="A83" s="18" t="s">
        <v>519</v>
      </c>
      <c r="B83" s="4" t="s">
        <v>77</v>
      </c>
      <c r="C83" s="4" t="s">
        <v>83</v>
      </c>
      <c r="D83" s="4" t="s">
        <v>131</v>
      </c>
      <c r="E83" s="22" t="s">
        <v>630</v>
      </c>
    </row>
    <row r="84" spans="1:5" ht="12.75">
      <c r="A84" s="18" t="s">
        <v>531</v>
      </c>
      <c r="B84" s="4" t="s">
        <v>77</v>
      </c>
      <c r="C84" s="4" t="s">
        <v>156</v>
      </c>
      <c r="D84" s="4" t="s">
        <v>52</v>
      </c>
      <c r="E84" s="22" t="s">
        <v>631</v>
      </c>
    </row>
    <row r="85" spans="1:5" ht="12.75">
      <c r="A85" s="18" t="s">
        <v>523</v>
      </c>
      <c r="B85" s="4" t="s">
        <v>77</v>
      </c>
      <c r="C85" s="4" t="s">
        <v>632</v>
      </c>
      <c r="D85" s="4" t="s">
        <v>49</v>
      </c>
      <c r="E85" s="22" t="s">
        <v>633</v>
      </c>
    </row>
    <row r="88" spans="1:2" ht="15">
      <c r="A88" s="17" t="s">
        <v>91</v>
      </c>
      <c r="B88" s="17"/>
    </row>
    <row r="89" spans="1:2" ht="14.25">
      <c r="A89" s="19"/>
      <c r="B89" s="20" t="s">
        <v>349</v>
      </c>
    </row>
    <row r="90" spans="1:5" ht="15">
      <c r="A90" s="21" t="s">
        <v>78</v>
      </c>
      <c r="B90" s="21" t="s">
        <v>79</v>
      </c>
      <c r="C90" s="21" t="s">
        <v>80</v>
      </c>
      <c r="D90" s="21" t="s">
        <v>81</v>
      </c>
      <c r="E90" s="21" t="s">
        <v>82</v>
      </c>
    </row>
    <row r="91" spans="1:5" ht="12.75">
      <c r="A91" s="18" t="s">
        <v>556</v>
      </c>
      <c r="B91" s="4" t="s">
        <v>353</v>
      </c>
      <c r="C91" s="4" t="s">
        <v>108</v>
      </c>
      <c r="D91" s="4" t="s">
        <v>495</v>
      </c>
      <c r="E91" s="22" t="s">
        <v>634</v>
      </c>
    </row>
    <row r="92" spans="1:5" ht="12.75">
      <c r="A92" s="18" t="s">
        <v>543</v>
      </c>
      <c r="B92" s="4" t="s">
        <v>635</v>
      </c>
      <c r="C92" s="4" t="s">
        <v>86</v>
      </c>
      <c r="D92" s="4" t="s">
        <v>41</v>
      </c>
      <c r="E92" s="22" t="s">
        <v>636</v>
      </c>
    </row>
    <row r="93" spans="1:5" ht="12.75">
      <c r="A93" s="18" t="s">
        <v>604</v>
      </c>
      <c r="B93" s="4" t="s">
        <v>637</v>
      </c>
      <c r="C93" s="4" t="s">
        <v>162</v>
      </c>
      <c r="D93" s="4" t="s">
        <v>541</v>
      </c>
      <c r="E93" s="22" t="s">
        <v>638</v>
      </c>
    </row>
    <row r="94" spans="1:5" ht="12.75">
      <c r="A94" s="18" t="s">
        <v>574</v>
      </c>
      <c r="B94" s="4" t="s">
        <v>353</v>
      </c>
      <c r="C94" s="4" t="s">
        <v>92</v>
      </c>
      <c r="D94" s="4" t="s">
        <v>66</v>
      </c>
      <c r="E94" s="22" t="s">
        <v>639</v>
      </c>
    </row>
    <row r="95" spans="1:5" ht="12.75">
      <c r="A95" s="18" t="s">
        <v>547</v>
      </c>
      <c r="B95" s="4" t="s">
        <v>637</v>
      </c>
      <c r="C95" s="4" t="s">
        <v>632</v>
      </c>
      <c r="D95" s="4" t="s">
        <v>27</v>
      </c>
      <c r="E95" s="22" t="s">
        <v>640</v>
      </c>
    </row>
    <row r="96" spans="1:5" ht="12.75">
      <c r="A96" s="18" t="s">
        <v>552</v>
      </c>
      <c r="B96" s="4" t="s">
        <v>637</v>
      </c>
      <c r="C96" s="4" t="s">
        <v>108</v>
      </c>
      <c r="D96" s="4" t="s">
        <v>555</v>
      </c>
      <c r="E96" s="22" t="s">
        <v>641</v>
      </c>
    </row>
    <row r="98" spans="1:2" ht="14.25">
      <c r="A98" s="19"/>
      <c r="B98" s="20" t="s">
        <v>355</v>
      </c>
    </row>
    <row r="99" spans="1:5" ht="15">
      <c r="A99" s="21" t="s">
        <v>78</v>
      </c>
      <c r="B99" s="21" t="s">
        <v>79</v>
      </c>
      <c r="C99" s="21" t="s">
        <v>80</v>
      </c>
      <c r="D99" s="21" t="s">
        <v>81</v>
      </c>
      <c r="E99" s="21" t="s">
        <v>82</v>
      </c>
    </row>
    <row r="100" spans="1:5" ht="12.75">
      <c r="A100" s="18" t="s">
        <v>578</v>
      </c>
      <c r="B100" s="4" t="s">
        <v>356</v>
      </c>
      <c r="C100" s="4" t="s">
        <v>92</v>
      </c>
      <c r="D100" s="4" t="s">
        <v>283</v>
      </c>
      <c r="E100" s="22" t="s">
        <v>642</v>
      </c>
    </row>
    <row r="102" spans="1:2" ht="14.25">
      <c r="A102" s="19"/>
      <c r="B102" s="20" t="s">
        <v>77</v>
      </c>
    </row>
    <row r="103" spans="1:5" ht="15">
      <c r="A103" s="21" t="s">
        <v>78</v>
      </c>
      <c r="B103" s="21" t="s">
        <v>79</v>
      </c>
      <c r="C103" s="21" t="s">
        <v>80</v>
      </c>
      <c r="D103" s="21" t="s">
        <v>81</v>
      </c>
      <c r="E103" s="21" t="s">
        <v>82</v>
      </c>
    </row>
    <row r="104" spans="1:5" ht="12.75">
      <c r="A104" s="18" t="s">
        <v>556</v>
      </c>
      <c r="B104" s="4" t="s">
        <v>77</v>
      </c>
      <c r="C104" s="4" t="s">
        <v>108</v>
      </c>
      <c r="D104" s="4" t="s">
        <v>495</v>
      </c>
      <c r="E104" s="22" t="s">
        <v>643</v>
      </c>
    </row>
    <row r="105" spans="1:5" ht="12.75">
      <c r="A105" s="18" t="s">
        <v>583</v>
      </c>
      <c r="B105" s="4" t="s">
        <v>77</v>
      </c>
      <c r="C105" s="4" t="s">
        <v>92</v>
      </c>
      <c r="D105" s="4" t="s">
        <v>484</v>
      </c>
      <c r="E105" s="22" t="s">
        <v>644</v>
      </c>
    </row>
    <row r="106" spans="1:5" ht="12.75">
      <c r="A106" s="18" t="s">
        <v>613</v>
      </c>
      <c r="B106" s="4" t="s">
        <v>77</v>
      </c>
      <c r="C106" s="4" t="s">
        <v>159</v>
      </c>
      <c r="D106" s="4" t="s">
        <v>452</v>
      </c>
      <c r="E106" s="22" t="s">
        <v>645</v>
      </c>
    </row>
    <row r="107" spans="1:5" ht="12.75">
      <c r="A107" s="18" t="s">
        <v>589</v>
      </c>
      <c r="B107" s="4" t="s">
        <v>77</v>
      </c>
      <c r="C107" s="4" t="s">
        <v>92</v>
      </c>
      <c r="D107" s="4" t="s">
        <v>587</v>
      </c>
      <c r="E107" s="22" t="s">
        <v>646</v>
      </c>
    </row>
    <row r="108" spans="1:5" ht="12.75">
      <c r="A108" s="18" t="s">
        <v>608</v>
      </c>
      <c r="B108" s="4" t="s">
        <v>77</v>
      </c>
      <c r="C108" s="4" t="s">
        <v>162</v>
      </c>
      <c r="D108" s="4" t="s">
        <v>474</v>
      </c>
      <c r="E108" s="22" t="s">
        <v>647</v>
      </c>
    </row>
    <row r="109" spans="1:5" ht="12.75">
      <c r="A109" s="18" t="s">
        <v>565</v>
      </c>
      <c r="B109" s="4" t="s">
        <v>77</v>
      </c>
      <c r="C109" s="4" t="s">
        <v>156</v>
      </c>
      <c r="D109" s="4" t="s">
        <v>283</v>
      </c>
      <c r="E109" s="22" t="s">
        <v>648</v>
      </c>
    </row>
    <row r="110" spans="1:5" ht="12.75">
      <c r="A110" s="18" t="s">
        <v>621</v>
      </c>
      <c r="B110" s="4" t="s">
        <v>77</v>
      </c>
      <c r="C110" s="4" t="s">
        <v>152</v>
      </c>
      <c r="D110" s="4" t="s">
        <v>452</v>
      </c>
      <c r="E110" s="22" t="s">
        <v>649</v>
      </c>
    </row>
    <row r="111" spans="1:5" ht="12.75">
      <c r="A111" s="18" t="s">
        <v>295</v>
      </c>
      <c r="B111" s="4" t="s">
        <v>77</v>
      </c>
      <c r="C111" s="4" t="s">
        <v>162</v>
      </c>
      <c r="D111" s="4" t="s">
        <v>419</v>
      </c>
      <c r="E111" s="22" t="s">
        <v>650</v>
      </c>
    </row>
    <row r="112" spans="1:5" ht="12.75">
      <c r="A112" s="18" t="s">
        <v>569</v>
      </c>
      <c r="B112" s="4" t="s">
        <v>77</v>
      </c>
      <c r="C112" s="4" t="s">
        <v>156</v>
      </c>
      <c r="D112" s="4" t="s">
        <v>412</v>
      </c>
      <c r="E112" s="22" t="s">
        <v>651</v>
      </c>
    </row>
    <row r="113" spans="1:5" ht="12.75">
      <c r="A113" s="18" t="s">
        <v>617</v>
      </c>
      <c r="B113" s="4" t="s">
        <v>77</v>
      </c>
      <c r="C113" s="4" t="s">
        <v>159</v>
      </c>
      <c r="D113" s="4" t="s">
        <v>420</v>
      </c>
      <c r="E113" s="22" t="s">
        <v>652</v>
      </c>
    </row>
    <row r="114" spans="1:5" ht="12.75">
      <c r="A114" s="18" t="s">
        <v>593</v>
      </c>
      <c r="B114" s="4" t="s">
        <v>77</v>
      </c>
      <c r="C114" s="4" t="s">
        <v>92</v>
      </c>
      <c r="D114" s="4" t="s">
        <v>105</v>
      </c>
      <c r="E114" s="22" t="s">
        <v>653</v>
      </c>
    </row>
    <row r="115" spans="1:5" ht="12.75">
      <c r="A115" s="18" t="s">
        <v>596</v>
      </c>
      <c r="B115" s="4" t="s">
        <v>77</v>
      </c>
      <c r="C115" s="4" t="s">
        <v>92</v>
      </c>
      <c r="D115" s="4" t="s">
        <v>60</v>
      </c>
      <c r="E115" s="22" t="s">
        <v>654</v>
      </c>
    </row>
    <row r="117" spans="1:2" ht="14.25">
      <c r="A117" s="19"/>
      <c r="B117" s="20" t="s">
        <v>106</v>
      </c>
    </row>
    <row r="118" spans="1:5" ht="15">
      <c r="A118" s="21" t="s">
        <v>78</v>
      </c>
      <c r="B118" s="21" t="s">
        <v>79</v>
      </c>
      <c r="C118" s="21" t="s">
        <v>80</v>
      </c>
      <c r="D118" s="21" t="s">
        <v>81</v>
      </c>
      <c r="E118" s="21" t="s">
        <v>82</v>
      </c>
    </row>
    <row r="119" spans="1:5" ht="12.75">
      <c r="A119" s="18" t="s">
        <v>600</v>
      </c>
      <c r="B119" s="4" t="s">
        <v>347</v>
      </c>
      <c r="C119" s="4" t="s">
        <v>92</v>
      </c>
      <c r="D119" s="4" t="s">
        <v>445</v>
      </c>
      <c r="E119" s="22" t="s">
        <v>655</v>
      </c>
    </row>
  </sheetData>
  <sheetProtection/>
  <mergeCells count="26">
    <mergeCell ref="A61:L61"/>
    <mergeCell ref="A15:L15"/>
    <mergeCell ref="A18:L18"/>
    <mergeCell ref="A21:L21"/>
    <mergeCell ref="A24:L24"/>
    <mergeCell ref="A27:L27"/>
    <mergeCell ref="A30:L30"/>
    <mergeCell ref="A33:L33"/>
    <mergeCell ref="A38:L38"/>
    <mergeCell ref="A43:L43"/>
    <mergeCell ref="A52:L52"/>
    <mergeCell ref="A57:L57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1.875" style="4" bestFit="1" customWidth="1"/>
    <col min="14" max="16384" width="9.125" style="3" customWidth="1"/>
  </cols>
  <sheetData>
    <row r="1" spans="1:13" s="2" customFormat="1" ht="28.5" customHeight="1">
      <c r="A1" s="56" t="s">
        <v>497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13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132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499</v>
      </c>
      <c r="B6" s="12" t="s">
        <v>500</v>
      </c>
      <c r="C6" s="12" t="s">
        <v>501</v>
      </c>
      <c r="D6" s="12" t="str">
        <f>"0,5910"</f>
        <v>0,5910</v>
      </c>
      <c r="E6" s="12" t="s">
        <v>429</v>
      </c>
      <c r="F6" s="12" t="s">
        <v>20</v>
      </c>
      <c r="G6" s="13" t="s">
        <v>438</v>
      </c>
      <c r="H6" s="13" t="s">
        <v>420</v>
      </c>
      <c r="I6" s="14" t="s">
        <v>431</v>
      </c>
      <c r="J6" s="14"/>
      <c r="K6" s="12" t="str">
        <f>"220,0"</f>
        <v>220,0</v>
      </c>
      <c r="L6" s="13" t="str">
        <f>"130,0200"</f>
        <v>130,0200</v>
      </c>
      <c r="M6" s="12" t="s">
        <v>432</v>
      </c>
    </row>
    <row r="8" spans="5:6" ht="15">
      <c r="E8" s="15" t="s">
        <v>70</v>
      </c>
      <c r="F8" s="49" t="s">
        <v>950</v>
      </c>
    </row>
    <row r="9" spans="5:6" ht="15">
      <c r="E9" s="15" t="s">
        <v>71</v>
      </c>
      <c r="F9" s="49" t="s">
        <v>949</v>
      </c>
    </row>
    <row r="10" spans="5:6" ht="15">
      <c r="E10" s="15" t="s">
        <v>72</v>
      </c>
      <c r="F10" s="49" t="s">
        <v>950</v>
      </c>
    </row>
    <row r="11" spans="5:6" ht="15">
      <c r="E11" s="15" t="s">
        <v>73</v>
      </c>
      <c r="F11" s="49" t="s">
        <v>951</v>
      </c>
    </row>
    <row r="12" spans="5:6" ht="15">
      <c r="E12" s="15" t="s">
        <v>73</v>
      </c>
      <c r="F12" s="49" t="s">
        <v>952</v>
      </c>
    </row>
    <row r="13" spans="5:6" ht="15">
      <c r="E13" s="15" t="s">
        <v>74</v>
      </c>
      <c r="F13" s="49" t="s">
        <v>953</v>
      </c>
    </row>
    <row r="14" ht="15">
      <c r="E14" s="15"/>
    </row>
    <row r="16" spans="1:2" ht="18">
      <c r="A16" s="16" t="s">
        <v>75</v>
      </c>
      <c r="B16" s="16"/>
    </row>
    <row r="17" spans="1:2" ht="15">
      <c r="A17" s="17" t="s">
        <v>91</v>
      </c>
      <c r="B17" s="17"/>
    </row>
    <row r="18" spans="1:2" ht="14.25">
      <c r="A18" s="19"/>
      <c r="B18" s="20" t="s">
        <v>77</v>
      </c>
    </row>
    <row r="19" spans="1:5" ht="15">
      <c r="A19" s="21" t="s">
        <v>78</v>
      </c>
      <c r="B19" s="21" t="s">
        <v>79</v>
      </c>
      <c r="C19" s="21" t="s">
        <v>80</v>
      </c>
      <c r="D19" s="21" t="s">
        <v>81</v>
      </c>
      <c r="E19" s="21" t="s">
        <v>82</v>
      </c>
    </row>
    <row r="20" spans="1:5" ht="12.75">
      <c r="A20" s="18" t="s">
        <v>498</v>
      </c>
      <c r="B20" s="4" t="s">
        <v>77</v>
      </c>
      <c r="C20" s="4" t="s">
        <v>162</v>
      </c>
      <c r="D20" s="4" t="s">
        <v>420</v>
      </c>
      <c r="E20" s="22" t="s">
        <v>502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6" t="s">
        <v>489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12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54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491</v>
      </c>
      <c r="B6" s="12" t="s">
        <v>492</v>
      </c>
      <c r="C6" s="12" t="s">
        <v>493</v>
      </c>
      <c r="D6" s="12" t="str">
        <f>"0,6238"</f>
        <v>0,6238</v>
      </c>
      <c r="E6" s="12" t="s">
        <v>19</v>
      </c>
      <c r="F6" s="12" t="s">
        <v>20</v>
      </c>
      <c r="G6" s="13" t="s">
        <v>445</v>
      </c>
      <c r="H6" s="13" t="s">
        <v>494</v>
      </c>
      <c r="I6" s="14" t="s">
        <v>495</v>
      </c>
      <c r="J6" s="14"/>
      <c r="K6" s="12" t="str">
        <f>"202,5"</f>
        <v>202,5</v>
      </c>
      <c r="L6" s="13" t="str">
        <f>"126,3195"</f>
        <v>126,3195</v>
      </c>
      <c r="M6" s="12" t="s">
        <v>29</v>
      </c>
    </row>
    <row r="8" spans="5:6" ht="15">
      <c r="E8" s="15" t="s">
        <v>70</v>
      </c>
      <c r="F8" s="49" t="s">
        <v>950</v>
      </c>
    </row>
    <row r="9" spans="5:6" ht="15">
      <c r="E9" s="15" t="s">
        <v>71</v>
      </c>
      <c r="F9" s="49" t="s">
        <v>949</v>
      </c>
    </row>
    <row r="10" spans="5:6" ht="15">
      <c r="E10" s="15" t="s">
        <v>72</v>
      </c>
      <c r="F10" s="49" t="s">
        <v>950</v>
      </c>
    </row>
    <row r="11" spans="5:6" ht="15">
      <c r="E11" s="15" t="s">
        <v>73</v>
      </c>
      <c r="F11" s="49" t="s">
        <v>951</v>
      </c>
    </row>
    <row r="12" spans="5:6" ht="15">
      <c r="E12" s="15" t="s">
        <v>73</v>
      </c>
      <c r="F12" s="49" t="s">
        <v>952</v>
      </c>
    </row>
    <row r="13" spans="5:6" ht="15">
      <c r="E13" s="15" t="s">
        <v>74</v>
      </c>
      <c r="F13" s="49" t="s">
        <v>953</v>
      </c>
    </row>
    <row r="14" ht="15">
      <c r="E14" s="15"/>
    </row>
    <row r="16" spans="1:2" ht="18">
      <c r="A16" s="16" t="s">
        <v>75</v>
      </c>
      <c r="B16" s="16"/>
    </row>
    <row r="17" spans="1:2" ht="15">
      <c r="A17" s="17" t="s">
        <v>91</v>
      </c>
      <c r="B17" s="17"/>
    </row>
    <row r="18" spans="1:2" ht="14.25">
      <c r="A18" s="19"/>
      <c r="B18" s="20" t="s">
        <v>77</v>
      </c>
    </row>
    <row r="19" spans="1:5" ht="15">
      <c r="A19" s="21" t="s">
        <v>78</v>
      </c>
      <c r="B19" s="21" t="s">
        <v>79</v>
      </c>
      <c r="C19" s="21" t="s">
        <v>80</v>
      </c>
      <c r="D19" s="21" t="s">
        <v>81</v>
      </c>
      <c r="E19" s="21" t="s">
        <v>82</v>
      </c>
    </row>
    <row r="20" spans="1:5" ht="12.75">
      <c r="A20" s="18" t="s">
        <v>490</v>
      </c>
      <c r="B20" s="4" t="s">
        <v>77</v>
      </c>
      <c r="C20" s="4" t="s">
        <v>92</v>
      </c>
      <c r="D20" s="4" t="s">
        <v>494</v>
      </c>
      <c r="E20" s="22" t="s">
        <v>496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6" t="s">
        <v>465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12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54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467</v>
      </c>
      <c r="B6" s="12" t="s">
        <v>468</v>
      </c>
      <c r="C6" s="12" t="s">
        <v>469</v>
      </c>
      <c r="D6" s="12" t="str">
        <f>"0,6301"</f>
        <v>0,6301</v>
      </c>
      <c r="E6" s="12" t="s">
        <v>429</v>
      </c>
      <c r="F6" s="12" t="s">
        <v>20</v>
      </c>
      <c r="G6" s="14" t="s">
        <v>59</v>
      </c>
      <c r="H6" s="13" t="s">
        <v>244</v>
      </c>
      <c r="I6" s="14" t="s">
        <v>61</v>
      </c>
      <c r="J6" s="14"/>
      <c r="K6" s="12" t="str">
        <f>"175,0"</f>
        <v>175,0</v>
      </c>
      <c r="L6" s="13" t="str">
        <f>"110,2675"</f>
        <v>110,2675</v>
      </c>
      <c r="M6" s="12" t="s">
        <v>432</v>
      </c>
    </row>
    <row r="8" spans="1:12" ht="15">
      <c r="A8" s="54" t="s">
        <v>132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2" t="s">
        <v>471</v>
      </c>
      <c r="B9" s="12" t="s">
        <v>472</v>
      </c>
      <c r="C9" s="12" t="s">
        <v>473</v>
      </c>
      <c r="D9" s="12" t="str">
        <f>"0,5867"</f>
        <v>0,5867</v>
      </c>
      <c r="E9" s="12" t="s">
        <v>429</v>
      </c>
      <c r="F9" s="12" t="s">
        <v>20</v>
      </c>
      <c r="G9" s="13" t="s">
        <v>89</v>
      </c>
      <c r="H9" s="13" t="s">
        <v>421</v>
      </c>
      <c r="I9" s="13" t="s">
        <v>474</v>
      </c>
      <c r="J9" s="14"/>
      <c r="K9" s="12" t="str">
        <f>"225,0"</f>
        <v>225,0</v>
      </c>
      <c r="L9" s="13" t="str">
        <f>"141,1160"</f>
        <v>141,1160</v>
      </c>
      <c r="M9" s="12" t="s">
        <v>432</v>
      </c>
    </row>
    <row r="11" spans="1:12" ht="15">
      <c r="A11" s="54" t="s">
        <v>332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6" t="s">
        <v>476</v>
      </c>
      <c r="B12" s="6" t="s">
        <v>477</v>
      </c>
      <c r="C12" s="6" t="s">
        <v>478</v>
      </c>
      <c r="D12" s="6" t="str">
        <f>"0,5401"</f>
        <v>0,5401</v>
      </c>
      <c r="E12" s="6" t="s">
        <v>429</v>
      </c>
      <c r="F12" s="6" t="s">
        <v>20</v>
      </c>
      <c r="G12" s="7" t="s">
        <v>420</v>
      </c>
      <c r="H12" s="7" t="s">
        <v>479</v>
      </c>
      <c r="I12" s="8"/>
      <c r="J12" s="8"/>
      <c r="K12" s="6" t="str">
        <f>"245,0"</f>
        <v>245,0</v>
      </c>
      <c r="L12" s="7" t="str">
        <f>"137,6175"</f>
        <v>137,6175</v>
      </c>
      <c r="M12" s="6" t="s">
        <v>432</v>
      </c>
    </row>
    <row r="13" spans="1:13" ht="12.75">
      <c r="A13" s="9" t="s">
        <v>481</v>
      </c>
      <c r="B13" s="9" t="s">
        <v>482</v>
      </c>
      <c r="C13" s="9" t="s">
        <v>483</v>
      </c>
      <c r="D13" s="9" t="str">
        <f>"0,5371"</f>
        <v>0,5371</v>
      </c>
      <c r="E13" s="9" t="s">
        <v>19</v>
      </c>
      <c r="F13" s="9" t="s">
        <v>20</v>
      </c>
      <c r="G13" s="10" t="s">
        <v>484</v>
      </c>
      <c r="H13" s="10" t="s">
        <v>479</v>
      </c>
      <c r="I13" s="10" t="s">
        <v>452</v>
      </c>
      <c r="J13" s="11"/>
      <c r="K13" s="9" t="str">
        <f>"250,0"</f>
        <v>250,0</v>
      </c>
      <c r="L13" s="10" t="str">
        <f>"134,2750"</f>
        <v>134,2750</v>
      </c>
      <c r="M13" s="9" t="s">
        <v>29</v>
      </c>
    </row>
    <row r="15" spans="5:6" ht="15">
      <c r="E15" s="15" t="s">
        <v>70</v>
      </c>
      <c r="F15" s="49" t="s">
        <v>950</v>
      </c>
    </row>
    <row r="16" spans="5:6" ht="15">
      <c r="E16" s="15" t="s">
        <v>71</v>
      </c>
      <c r="F16" s="49" t="s">
        <v>949</v>
      </c>
    </row>
    <row r="17" spans="5:6" ht="15">
      <c r="E17" s="15" t="s">
        <v>72</v>
      </c>
      <c r="F17" s="49" t="s">
        <v>950</v>
      </c>
    </row>
    <row r="18" spans="5:6" ht="15">
      <c r="E18" s="15" t="s">
        <v>73</v>
      </c>
      <c r="F18" s="49" t="s">
        <v>951</v>
      </c>
    </row>
    <row r="19" spans="5:6" ht="15">
      <c r="E19" s="15" t="s">
        <v>73</v>
      </c>
      <c r="F19" s="49" t="s">
        <v>952</v>
      </c>
    </row>
    <row r="20" spans="5:6" ht="15">
      <c r="E20" s="15" t="s">
        <v>74</v>
      </c>
      <c r="F20" s="49" t="s">
        <v>953</v>
      </c>
    </row>
    <row r="21" ht="15">
      <c r="E21" s="15"/>
    </row>
    <row r="23" spans="1:2" ht="18">
      <c r="A23" s="16" t="s">
        <v>75</v>
      </c>
      <c r="B23" s="16"/>
    </row>
    <row r="24" spans="1:2" ht="15">
      <c r="A24" s="17" t="s">
        <v>91</v>
      </c>
      <c r="B24" s="17"/>
    </row>
    <row r="25" spans="1:2" ht="14.25">
      <c r="A25" s="19"/>
      <c r="B25" s="20" t="s">
        <v>349</v>
      </c>
    </row>
    <row r="26" spans="1:5" ht="15">
      <c r="A26" s="21" t="s">
        <v>78</v>
      </c>
      <c r="B26" s="21" t="s">
        <v>79</v>
      </c>
      <c r="C26" s="21" t="s">
        <v>80</v>
      </c>
      <c r="D26" s="21" t="s">
        <v>81</v>
      </c>
      <c r="E26" s="21" t="s">
        <v>82</v>
      </c>
    </row>
    <row r="27" spans="1:5" ht="12.75">
      <c r="A27" s="18" t="s">
        <v>475</v>
      </c>
      <c r="B27" s="4" t="s">
        <v>350</v>
      </c>
      <c r="C27" s="4" t="s">
        <v>369</v>
      </c>
      <c r="D27" s="4" t="s">
        <v>479</v>
      </c>
      <c r="E27" s="22" t="s">
        <v>485</v>
      </c>
    </row>
    <row r="29" spans="1:2" ht="14.25">
      <c r="A29" s="19"/>
      <c r="B29" s="20" t="s">
        <v>77</v>
      </c>
    </row>
    <row r="30" spans="1:5" ht="15">
      <c r="A30" s="21" t="s">
        <v>78</v>
      </c>
      <c r="B30" s="21" t="s">
        <v>79</v>
      </c>
      <c r="C30" s="21" t="s">
        <v>80</v>
      </c>
      <c r="D30" s="21" t="s">
        <v>81</v>
      </c>
      <c r="E30" s="21" t="s">
        <v>82</v>
      </c>
    </row>
    <row r="31" spans="1:5" ht="12.75">
      <c r="A31" s="18" t="s">
        <v>480</v>
      </c>
      <c r="B31" s="4" t="s">
        <v>77</v>
      </c>
      <c r="C31" s="4" t="s">
        <v>369</v>
      </c>
      <c r="D31" s="4" t="s">
        <v>452</v>
      </c>
      <c r="E31" s="22" t="s">
        <v>486</v>
      </c>
    </row>
    <row r="32" spans="1:5" ht="12.75">
      <c r="A32" s="18" t="s">
        <v>466</v>
      </c>
      <c r="B32" s="4" t="s">
        <v>77</v>
      </c>
      <c r="C32" s="4" t="s">
        <v>92</v>
      </c>
      <c r="D32" s="4" t="s">
        <v>244</v>
      </c>
      <c r="E32" s="22" t="s">
        <v>487</v>
      </c>
    </row>
    <row r="34" spans="1:2" ht="14.25">
      <c r="A34" s="19"/>
      <c r="B34" s="20" t="s">
        <v>106</v>
      </c>
    </row>
    <row r="35" spans="1:5" ht="15">
      <c r="A35" s="21" t="s">
        <v>78</v>
      </c>
      <c r="B35" s="21" t="s">
        <v>79</v>
      </c>
      <c r="C35" s="21" t="s">
        <v>80</v>
      </c>
      <c r="D35" s="21" t="s">
        <v>81</v>
      </c>
      <c r="E35" s="21" t="s">
        <v>82</v>
      </c>
    </row>
    <row r="36" spans="1:5" ht="12.75">
      <c r="A36" s="18" t="s">
        <v>470</v>
      </c>
      <c r="B36" s="4" t="s">
        <v>161</v>
      </c>
      <c r="C36" s="4" t="s">
        <v>162</v>
      </c>
      <c r="D36" s="4" t="s">
        <v>474</v>
      </c>
      <c r="E36" s="22" t="s">
        <v>488</v>
      </c>
    </row>
  </sheetData>
  <sheetProtection/>
  <mergeCells count="14"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56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6" t="s">
        <v>392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12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44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394</v>
      </c>
      <c r="B6" s="12" t="s">
        <v>395</v>
      </c>
      <c r="C6" s="12" t="s">
        <v>396</v>
      </c>
      <c r="D6" s="12" t="str">
        <f>"0,9133"</f>
        <v>0,9133</v>
      </c>
      <c r="E6" s="12" t="s">
        <v>19</v>
      </c>
      <c r="F6" s="12" t="s">
        <v>397</v>
      </c>
      <c r="G6" s="13" t="s">
        <v>24</v>
      </c>
      <c r="H6" s="14" t="s">
        <v>117</v>
      </c>
      <c r="I6" s="14" t="s">
        <v>117</v>
      </c>
      <c r="J6" s="14"/>
      <c r="K6" s="12" t="str">
        <f>"57,5"</f>
        <v>57,5</v>
      </c>
      <c r="L6" s="13" t="str">
        <f>"52,5147"</f>
        <v>52,5147</v>
      </c>
      <c r="M6" s="12" t="s">
        <v>398</v>
      </c>
    </row>
    <row r="8" spans="1:12" ht="15">
      <c r="A8" s="54" t="s">
        <v>98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2" t="s">
        <v>400</v>
      </c>
      <c r="B9" s="12" t="s">
        <v>401</v>
      </c>
      <c r="C9" s="12" t="s">
        <v>402</v>
      </c>
      <c r="D9" s="12" t="str">
        <f>"0,7302"</f>
        <v>0,7302</v>
      </c>
      <c r="E9" s="12" t="s">
        <v>19</v>
      </c>
      <c r="F9" s="12" t="s">
        <v>403</v>
      </c>
      <c r="G9" s="13" t="s">
        <v>52</v>
      </c>
      <c r="H9" s="13" t="s">
        <v>277</v>
      </c>
      <c r="I9" s="14" t="s">
        <v>68</v>
      </c>
      <c r="J9" s="14"/>
      <c r="K9" s="12" t="str">
        <f>"155,0"</f>
        <v>155,0</v>
      </c>
      <c r="L9" s="13" t="str">
        <f>"113,1810"</f>
        <v>113,1810</v>
      </c>
      <c r="M9" s="12" t="s">
        <v>29</v>
      </c>
    </row>
    <row r="11" spans="1:12" ht="15">
      <c r="A11" s="54" t="s">
        <v>54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6" t="s">
        <v>405</v>
      </c>
      <c r="B12" s="6" t="s">
        <v>406</v>
      </c>
      <c r="C12" s="6" t="s">
        <v>407</v>
      </c>
      <c r="D12" s="6" t="str">
        <f>"0,6332"</f>
        <v>0,6332</v>
      </c>
      <c r="E12" s="6" t="s">
        <v>19</v>
      </c>
      <c r="F12" s="6" t="s">
        <v>228</v>
      </c>
      <c r="G12" s="7" t="s">
        <v>59</v>
      </c>
      <c r="H12" s="7" t="s">
        <v>60</v>
      </c>
      <c r="I12" s="7" t="s">
        <v>244</v>
      </c>
      <c r="J12" s="8"/>
      <c r="K12" s="6" t="str">
        <f>"175,0"</f>
        <v>175,0</v>
      </c>
      <c r="L12" s="7" t="str">
        <f>"110,8100"</f>
        <v>110,8100</v>
      </c>
      <c r="M12" s="6" t="s">
        <v>29</v>
      </c>
    </row>
    <row r="13" spans="1:13" ht="12.75">
      <c r="A13" s="9" t="s">
        <v>408</v>
      </c>
      <c r="B13" s="9" t="s">
        <v>409</v>
      </c>
      <c r="C13" s="9" t="s">
        <v>410</v>
      </c>
      <c r="D13" s="9" t="str">
        <f>"0,6430"</f>
        <v>0,6430</v>
      </c>
      <c r="E13" s="9" t="s">
        <v>411</v>
      </c>
      <c r="F13" s="9" t="s">
        <v>20</v>
      </c>
      <c r="G13" s="11" t="s">
        <v>61</v>
      </c>
      <c r="H13" s="11" t="s">
        <v>61</v>
      </c>
      <c r="I13" s="11" t="s">
        <v>412</v>
      </c>
      <c r="J13" s="11"/>
      <c r="K13" s="9" t="str">
        <f>"0.00"</f>
        <v>0.00</v>
      </c>
      <c r="L13" s="10" t="str">
        <f>"0,0000"</f>
        <v>0,0000</v>
      </c>
      <c r="M13" s="9" t="s">
        <v>413</v>
      </c>
    </row>
    <row r="15" spans="1:12" ht="15">
      <c r="A15" s="54" t="s">
        <v>132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ht="12.75">
      <c r="A16" s="12" t="s">
        <v>415</v>
      </c>
      <c r="B16" s="12" t="s">
        <v>416</v>
      </c>
      <c r="C16" s="12" t="s">
        <v>417</v>
      </c>
      <c r="D16" s="12" t="str">
        <f>"0,5939"</f>
        <v>0,5939</v>
      </c>
      <c r="E16" s="12" t="s">
        <v>19</v>
      </c>
      <c r="F16" s="12" t="s">
        <v>418</v>
      </c>
      <c r="G16" s="13" t="s">
        <v>419</v>
      </c>
      <c r="H16" s="13" t="s">
        <v>420</v>
      </c>
      <c r="I16" s="14" t="s">
        <v>421</v>
      </c>
      <c r="J16" s="14"/>
      <c r="K16" s="12" t="str">
        <f>"220,0"</f>
        <v>220,0</v>
      </c>
      <c r="L16" s="13" t="str">
        <f>"130,6580"</f>
        <v>130,6580</v>
      </c>
      <c r="M16" s="12" t="s">
        <v>29</v>
      </c>
    </row>
    <row r="18" spans="1:12" ht="15">
      <c r="A18" s="54" t="s">
        <v>137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</row>
    <row r="19" spans="1:13" ht="12.75">
      <c r="A19" s="12" t="s">
        <v>423</v>
      </c>
      <c r="B19" s="12" t="s">
        <v>424</v>
      </c>
      <c r="C19" s="12" t="s">
        <v>330</v>
      </c>
      <c r="D19" s="12" t="str">
        <f>"0,5619"</f>
        <v>0,5619</v>
      </c>
      <c r="E19" s="12" t="s">
        <v>183</v>
      </c>
      <c r="F19" s="12" t="s">
        <v>184</v>
      </c>
      <c r="G19" s="14" t="s">
        <v>59</v>
      </c>
      <c r="H19" s="13" t="s">
        <v>59</v>
      </c>
      <c r="I19" s="14" t="s">
        <v>60</v>
      </c>
      <c r="J19" s="14"/>
      <c r="K19" s="12" t="str">
        <f>"160,0"</f>
        <v>160,0</v>
      </c>
      <c r="L19" s="13" t="str">
        <f>"89,9040"</f>
        <v>89,9040</v>
      </c>
      <c r="M19" s="12" t="s">
        <v>29</v>
      </c>
    </row>
    <row r="21" spans="1:12" ht="15">
      <c r="A21" s="54" t="s">
        <v>332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</row>
    <row r="22" spans="1:13" ht="12.75">
      <c r="A22" s="6" t="s">
        <v>426</v>
      </c>
      <c r="B22" s="6" t="s">
        <v>427</v>
      </c>
      <c r="C22" s="6" t="s">
        <v>428</v>
      </c>
      <c r="D22" s="6" t="str">
        <f>"0,5475"</f>
        <v>0,5475</v>
      </c>
      <c r="E22" s="6" t="s">
        <v>429</v>
      </c>
      <c r="F22" s="6" t="s">
        <v>20</v>
      </c>
      <c r="G22" s="7" t="s">
        <v>430</v>
      </c>
      <c r="H22" s="7" t="s">
        <v>431</v>
      </c>
      <c r="I22" s="8"/>
      <c r="J22" s="8"/>
      <c r="K22" s="6" t="str">
        <f>"235,0"</f>
        <v>235,0</v>
      </c>
      <c r="L22" s="7" t="str">
        <f>"128,6625"</f>
        <v>128,6625</v>
      </c>
      <c r="M22" s="6" t="s">
        <v>432</v>
      </c>
    </row>
    <row r="23" spans="1:13" ht="12.75">
      <c r="A23" s="9" t="s">
        <v>434</v>
      </c>
      <c r="B23" s="9" t="s">
        <v>435</v>
      </c>
      <c r="C23" s="9" t="s">
        <v>436</v>
      </c>
      <c r="D23" s="9" t="str">
        <f>"0,5428"</f>
        <v>0,5428</v>
      </c>
      <c r="E23" s="9" t="s">
        <v>19</v>
      </c>
      <c r="F23" s="9" t="s">
        <v>20</v>
      </c>
      <c r="G23" s="10" t="s">
        <v>437</v>
      </c>
      <c r="H23" s="10" t="s">
        <v>438</v>
      </c>
      <c r="I23" s="10" t="s">
        <v>419</v>
      </c>
      <c r="J23" s="11"/>
      <c r="K23" s="9" t="str">
        <f>"215,0"</f>
        <v>215,0</v>
      </c>
      <c r="L23" s="10" t="str">
        <f>"116,7020"</f>
        <v>116,7020</v>
      </c>
      <c r="M23" s="9" t="s">
        <v>439</v>
      </c>
    </row>
    <row r="25" spans="1:12" ht="15">
      <c r="A25" s="54" t="s">
        <v>142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</row>
    <row r="26" spans="1:13" ht="12.75">
      <c r="A26" s="12" t="s">
        <v>441</v>
      </c>
      <c r="B26" s="12" t="s">
        <v>442</v>
      </c>
      <c r="C26" s="12" t="s">
        <v>443</v>
      </c>
      <c r="D26" s="12" t="str">
        <f>"0,5328"</f>
        <v>0,5328</v>
      </c>
      <c r="E26" s="12" t="s">
        <v>444</v>
      </c>
      <c r="F26" s="12" t="s">
        <v>20</v>
      </c>
      <c r="G26" s="13" t="s">
        <v>412</v>
      </c>
      <c r="H26" s="13" t="s">
        <v>105</v>
      </c>
      <c r="I26" s="13" t="s">
        <v>445</v>
      </c>
      <c r="J26" s="14"/>
      <c r="K26" s="12" t="str">
        <f>"195,0"</f>
        <v>195,0</v>
      </c>
      <c r="L26" s="13" t="str">
        <f>"103,8960"</f>
        <v>103,8960</v>
      </c>
      <c r="M26" s="12" t="s">
        <v>29</v>
      </c>
    </row>
    <row r="28" spans="1:12" ht="15">
      <c r="A28" s="54" t="s">
        <v>446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</row>
    <row r="29" spans="1:13" ht="12.75">
      <c r="A29" s="12" t="s">
        <v>448</v>
      </c>
      <c r="B29" s="12" t="s">
        <v>449</v>
      </c>
      <c r="C29" s="12" t="s">
        <v>450</v>
      </c>
      <c r="D29" s="12" t="str">
        <f>"0,5057"</f>
        <v>0,5057</v>
      </c>
      <c r="E29" s="37" t="s">
        <v>451</v>
      </c>
      <c r="F29" s="12" t="s">
        <v>20</v>
      </c>
      <c r="G29" s="13" t="s">
        <v>452</v>
      </c>
      <c r="H29" s="13" t="s">
        <v>87</v>
      </c>
      <c r="I29" s="13" t="s">
        <v>453</v>
      </c>
      <c r="J29" s="14"/>
      <c r="K29" s="12" t="str">
        <f>"270,0"</f>
        <v>270,0</v>
      </c>
      <c r="L29" s="13" t="str">
        <f>"136,5390"</f>
        <v>136,5390</v>
      </c>
      <c r="M29" s="12" t="s">
        <v>454</v>
      </c>
    </row>
    <row r="31" spans="5:6" ht="15">
      <c r="E31" s="15" t="s">
        <v>70</v>
      </c>
      <c r="F31" s="49" t="s">
        <v>950</v>
      </c>
    </row>
    <row r="32" spans="5:6" ht="15">
      <c r="E32" s="15" t="s">
        <v>71</v>
      </c>
      <c r="F32" s="49" t="s">
        <v>949</v>
      </c>
    </row>
    <row r="33" spans="5:6" ht="15">
      <c r="E33" s="15" t="s">
        <v>72</v>
      </c>
      <c r="F33" s="49" t="s">
        <v>950</v>
      </c>
    </row>
    <row r="34" spans="5:6" ht="15">
      <c r="E34" s="15" t="s">
        <v>73</v>
      </c>
      <c r="F34" s="49" t="s">
        <v>951</v>
      </c>
    </row>
    <row r="35" spans="5:6" ht="15">
      <c r="E35" s="15" t="s">
        <v>73</v>
      </c>
      <c r="F35" s="49" t="s">
        <v>952</v>
      </c>
    </row>
    <row r="36" spans="5:6" ht="15">
      <c r="E36" s="15" t="s">
        <v>74</v>
      </c>
      <c r="F36" s="49" t="s">
        <v>953</v>
      </c>
    </row>
    <row r="37" ht="15">
      <c r="E37" s="15"/>
    </row>
    <row r="39" spans="1:2" ht="18">
      <c r="A39" s="16" t="s">
        <v>75</v>
      </c>
      <c r="B39" s="16"/>
    </row>
    <row r="40" spans="1:2" ht="15">
      <c r="A40" s="17" t="s">
        <v>76</v>
      </c>
      <c r="B40" s="17"/>
    </row>
    <row r="41" spans="1:2" ht="14.25">
      <c r="A41" s="19"/>
      <c r="B41" s="20" t="s">
        <v>77</v>
      </c>
    </row>
    <row r="42" spans="1:5" ht="15">
      <c r="A42" s="21" t="s">
        <v>78</v>
      </c>
      <c r="B42" s="21" t="s">
        <v>79</v>
      </c>
      <c r="C42" s="21" t="s">
        <v>80</v>
      </c>
      <c r="D42" s="21" t="s">
        <v>81</v>
      </c>
      <c r="E42" s="21" t="s">
        <v>82</v>
      </c>
    </row>
    <row r="43" spans="1:5" ht="12.75">
      <c r="A43" s="18" t="s">
        <v>393</v>
      </c>
      <c r="B43" s="4" t="s">
        <v>77</v>
      </c>
      <c r="C43" s="4" t="s">
        <v>83</v>
      </c>
      <c r="D43" s="4" t="s">
        <v>24</v>
      </c>
      <c r="E43" s="22" t="s">
        <v>455</v>
      </c>
    </row>
    <row r="46" spans="1:2" ht="15">
      <c r="A46" s="17" t="s">
        <v>91</v>
      </c>
      <c r="B46" s="17"/>
    </row>
    <row r="47" spans="1:2" ht="14.25">
      <c r="A47" s="19"/>
      <c r="B47" s="20" t="s">
        <v>77</v>
      </c>
    </row>
    <row r="48" spans="1:5" ht="15">
      <c r="A48" s="21" t="s">
        <v>78</v>
      </c>
      <c r="B48" s="21" t="s">
        <v>79</v>
      </c>
      <c r="C48" s="21" t="s">
        <v>80</v>
      </c>
      <c r="D48" s="21" t="s">
        <v>81</v>
      </c>
      <c r="E48" s="21" t="s">
        <v>82</v>
      </c>
    </row>
    <row r="49" spans="1:5" ht="12.75">
      <c r="A49" s="18" t="s">
        <v>447</v>
      </c>
      <c r="B49" s="4" t="s">
        <v>77</v>
      </c>
      <c r="C49" s="4" t="s">
        <v>456</v>
      </c>
      <c r="D49" s="4" t="s">
        <v>453</v>
      </c>
      <c r="E49" s="22" t="s">
        <v>457</v>
      </c>
    </row>
    <row r="50" spans="1:5" ht="12.75">
      <c r="A50" s="18" t="s">
        <v>414</v>
      </c>
      <c r="B50" s="4" t="s">
        <v>77</v>
      </c>
      <c r="C50" s="4" t="s">
        <v>162</v>
      </c>
      <c r="D50" s="4" t="s">
        <v>420</v>
      </c>
      <c r="E50" s="22" t="s">
        <v>458</v>
      </c>
    </row>
    <row r="51" spans="1:5" ht="12.75">
      <c r="A51" s="18" t="s">
        <v>425</v>
      </c>
      <c r="B51" s="4" t="s">
        <v>77</v>
      </c>
      <c r="C51" s="4" t="s">
        <v>369</v>
      </c>
      <c r="D51" s="4" t="s">
        <v>431</v>
      </c>
      <c r="E51" s="22" t="s">
        <v>459</v>
      </c>
    </row>
    <row r="52" spans="1:5" ht="12.75">
      <c r="A52" s="18" t="s">
        <v>433</v>
      </c>
      <c r="B52" s="4" t="s">
        <v>77</v>
      </c>
      <c r="C52" s="4" t="s">
        <v>369</v>
      </c>
      <c r="D52" s="4" t="s">
        <v>419</v>
      </c>
      <c r="E52" s="22" t="s">
        <v>460</v>
      </c>
    </row>
    <row r="53" spans="1:5" ht="12.75">
      <c r="A53" s="18" t="s">
        <v>399</v>
      </c>
      <c r="B53" s="4" t="s">
        <v>77</v>
      </c>
      <c r="C53" s="4" t="s">
        <v>108</v>
      </c>
      <c r="D53" s="4" t="s">
        <v>277</v>
      </c>
      <c r="E53" s="22" t="s">
        <v>461</v>
      </c>
    </row>
    <row r="54" spans="1:5" ht="12.75">
      <c r="A54" s="18" t="s">
        <v>404</v>
      </c>
      <c r="B54" s="4" t="s">
        <v>77</v>
      </c>
      <c r="C54" s="4" t="s">
        <v>92</v>
      </c>
      <c r="D54" s="4" t="s">
        <v>244</v>
      </c>
      <c r="E54" s="22" t="s">
        <v>462</v>
      </c>
    </row>
    <row r="55" spans="1:5" ht="12.75">
      <c r="A55" s="18" t="s">
        <v>440</v>
      </c>
      <c r="B55" s="4" t="s">
        <v>77</v>
      </c>
      <c r="C55" s="4" t="s">
        <v>152</v>
      </c>
      <c r="D55" s="4" t="s">
        <v>445</v>
      </c>
      <c r="E55" s="22" t="s">
        <v>463</v>
      </c>
    </row>
    <row r="56" spans="1:5" ht="12.75">
      <c r="A56" s="18" t="s">
        <v>422</v>
      </c>
      <c r="B56" s="4" t="s">
        <v>77</v>
      </c>
      <c r="C56" s="4" t="s">
        <v>159</v>
      </c>
      <c r="D56" s="4" t="s">
        <v>59</v>
      </c>
      <c r="E56" s="22" t="s">
        <v>464</v>
      </c>
    </row>
  </sheetData>
  <sheetProtection/>
  <mergeCells count="19">
    <mergeCell ref="A15:L15"/>
    <mergeCell ref="A18:L18"/>
    <mergeCell ref="A21:L21"/>
    <mergeCell ref="A25:L25"/>
    <mergeCell ref="A28:L28"/>
    <mergeCell ref="A11:L11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8:L8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6" t="s">
        <v>165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12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6" t="s">
        <v>167</v>
      </c>
      <c r="B6" s="6" t="s">
        <v>168</v>
      </c>
      <c r="C6" s="6" t="s">
        <v>169</v>
      </c>
      <c r="D6" s="6" t="str">
        <f>"0,9724"</f>
        <v>0,9724</v>
      </c>
      <c r="E6" s="6" t="s">
        <v>19</v>
      </c>
      <c r="F6" s="6" t="s">
        <v>20</v>
      </c>
      <c r="G6" s="7" t="s">
        <v>170</v>
      </c>
      <c r="H6" s="7" t="s">
        <v>171</v>
      </c>
      <c r="I6" s="8" t="s">
        <v>104</v>
      </c>
      <c r="J6" s="8"/>
      <c r="K6" s="6" t="str">
        <f>"67,5"</f>
        <v>67,5</v>
      </c>
      <c r="L6" s="7" t="str">
        <f>"65,6336"</f>
        <v>65,6336</v>
      </c>
      <c r="M6" s="6" t="s">
        <v>29</v>
      </c>
    </row>
    <row r="7" spans="1:13" ht="12.75">
      <c r="A7" s="9" t="s">
        <v>172</v>
      </c>
      <c r="B7" s="9" t="s">
        <v>17</v>
      </c>
      <c r="C7" s="9" t="s">
        <v>18</v>
      </c>
      <c r="D7" s="9" t="str">
        <f>"0,9786"</f>
        <v>0,9786</v>
      </c>
      <c r="E7" s="9" t="s">
        <v>19</v>
      </c>
      <c r="F7" s="9" t="s">
        <v>20</v>
      </c>
      <c r="G7" s="10" t="s">
        <v>23</v>
      </c>
      <c r="H7" s="10" t="s">
        <v>24</v>
      </c>
      <c r="I7" s="11" t="s">
        <v>25</v>
      </c>
      <c r="J7" s="11"/>
      <c r="K7" s="9" t="str">
        <f>"57,5"</f>
        <v>57,5</v>
      </c>
      <c r="L7" s="10" t="str">
        <f>"56,2666"</f>
        <v>56,2666</v>
      </c>
      <c r="M7" s="9" t="s">
        <v>29</v>
      </c>
    </row>
    <row r="9" spans="1:12" ht="15">
      <c r="A9" s="54" t="s">
        <v>98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</row>
    <row r="10" spans="1:13" ht="12.75">
      <c r="A10" s="12" t="s">
        <v>174</v>
      </c>
      <c r="B10" s="12" t="s">
        <v>175</v>
      </c>
      <c r="C10" s="12" t="s">
        <v>176</v>
      </c>
      <c r="D10" s="12" t="str">
        <f>"0,8444"</f>
        <v>0,8444</v>
      </c>
      <c r="E10" s="12" t="s">
        <v>19</v>
      </c>
      <c r="F10" s="12" t="s">
        <v>20</v>
      </c>
      <c r="G10" s="13" t="s">
        <v>39</v>
      </c>
      <c r="H10" s="14" t="s">
        <v>177</v>
      </c>
      <c r="I10" s="14" t="s">
        <v>177</v>
      </c>
      <c r="J10" s="14"/>
      <c r="K10" s="12" t="str">
        <f>"47,5"</f>
        <v>47,5</v>
      </c>
      <c r="L10" s="13" t="str">
        <f>"47,0479"</f>
        <v>47,0479</v>
      </c>
      <c r="M10" s="12" t="s">
        <v>178</v>
      </c>
    </row>
    <row r="12" spans="1:12" ht="15">
      <c r="A12" s="54" t="s">
        <v>44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3" ht="12.75">
      <c r="A13" s="12" t="s">
        <v>180</v>
      </c>
      <c r="B13" s="12" t="s">
        <v>181</v>
      </c>
      <c r="C13" s="12" t="s">
        <v>182</v>
      </c>
      <c r="D13" s="12" t="str">
        <f>"0,9267"</f>
        <v>0,9267</v>
      </c>
      <c r="E13" s="12" t="s">
        <v>183</v>
      </c>
      <c r="F13" s="12" t="s">
        <v>184</v>
      </c>
      <c r="G13" s="14" t="s">
        <v>177</v>
      </c>
      <c r="H13" s="13" t="s">
        <v>177</v>
      </c>
      <c r="I13" s="14" t="s">
        <v>104</v>
      </c>
      <c r="J13" s="14"/>
      <c r="K13" s="12" t="str">
        <f>"50,0"</f>
        <v>50,0</v>
      </c>
      <c r="L13" s="13" t="str">
        <f>"52,3585"</f>
        <v>52,3585</v>
      </c>
      <c r="M13" s="12" t="s">
        <v>185</v>
      </c>
    </row>
    <row r="15" spans="1:12" ht="15">
      <c r="A15" s="54" t="s">
        <v>98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</row>
    <row r="16" spans="1:13" ht="12.75">
      <c r="A16" s="6" t="s">
        <v>187</v>
      </c>
      <c r="B16" s="6" t="s">
        <v>188</v>
      </c>
      <c r="C16" s="6" t="s">
        <v>189</v>
      </c>
      <c r="D16" s="6" t="str">
        <f>"0,7619"</f>
        <v>0,7619</v>
      </c>
      <c r="E16" s="6" t="s">
        <v>123</v>
      </c>
      <c r="F16" s="6" t="s">
        <v>124</v>
      </c>
      <c r="G16" s="7" t="s">
        <v>130</v>
      </c>
      <c r="H16" s="7" t="s">
        <v>131</v>
      </c>
      <c r="I16" s="7" t="s">
        <v>190</v>
      </c>
      <c r="J16" s="8"/>
      <c r="K16" s="6" t="str">
        <f>"127,5"</f>
        <v>127,5</v>
      </c>
      <c r="L16" s="7" t="str">
        <f>"102,9708"</f>
        <v>102,9708</v>
      </c>
      <c r="M16" s="6" t="s">
        <v>125</v>
      </c>
    </row>
    <row r="17" spans="1:13" ht="12.75">
      <c r="A17" s="23" t="s">
        <v>192</v>
      </c>
      <c r="B17" s="23" t="s">
        <v>193</v>
      </c>
      <c r="C17" s="23" t="s">
        <v>102</v>
      </c>
      <c r="D17" s="23" t="str">
        <f>"0,7263"</f>
        <v>0,7263</v>
      </c>
      <c r="E17" s="23" t="s">
        <v>19</v>
      </c>
      <c r="F17" s="23" t="s">
        <v>20</v>
      </c>
      <c r="G17" s="24" t="s">
        <v>151</v>
      </c>
      <c r="H17" s="24" t="s">
        <v>151</v>
      </c>
      <c r="I17" s="25" t="s">
        <v>151</v>
      </c>
      <c r="J17" s="24"/>
      <c r="K17" s="23" t="str">
        <f>"135,0"</f>
        <v>135,0</v>
      </c>
      <c r="L17" s="25" t="str">
        <f>"100,9920"</f>
        <v>100,9920</v>
      </c>
      <c r="M17" s="23" t="s">
        <v>194</v>
      </c>
    </row>
    <row r="18" spans="1:13" ht="12.75">
      <c r="A18" s="9" t="s">
        <v>196</v>
      </c>
      <c r="B18" s="9" t="s">
        <v>197</v>
      </c>
      <c r="C18" s="9" t="s">
        <v>198</v>
      </c>
      <c r="D18" s="9" t="str">
        <f>"0,7367"</f>
        <v>0,7367</v>
      </c>
      <c r="E18" s="9" t="s">
        <v>183</v>
      </c>
      <c r="F18" s="9" t="s">
        <v>184</v>
      </c>
      <c r="G18" s="11" t="s">
        <v>41</v>
      </c>
      <c r="H18" s="10" t="s">
        <v>41</v>
      </c>
      <c r="I18" s="11" t="s">
        <v>49</v>
      </c>
      <c r="J18" s="11"/>
      <c r="K18" s="9" t="str">
        <f>"90,0"</f>
        <v>90,0</v>
      </c>
      <c r="L18" s="10" t="str">
        <f>"66,3030"</f>
        <v>66,3030</v>
      </c>
      <c r="M18" s="9" t="s">
        <v>185</v>
      </c>
    </row>
    <row r="20" spans="1:12" ht="15">
      <c r="A20" s="54" t="s">
        <v>118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3" ht="12.75">
      <c r="A21" s="6" t="s">
        <v>200</v>
      </c>
      <c r="B21" s="6" t="s">
        <v>201</v>
      </c>
      <c r="C21" s="6" t="s">
        <v>202</v>
      </c>
      <c r="D21" s="6" t="str">
        <f>"0,6843"</f>
        <v>0,6843</v>
      </c>
      <c r="E21" s="6" t="s">
        <v>19</v>
      </c>
      <c r="F21" s="6" t="s">
        <v>20</v>
      </c>
      <c r="G21" s="7" t="s">
        <v>131</v>
      </c>
      <c r="H21" s="7" t="s">
        <v>50</v>
      </c>
      <c r="I21" s="8" t="s">
        <v>151</v>
      </c>
      <c r="J21" s="8"/>
      <c r="K21" s="6" t="str">
        <f>"130,0"</f>
        <v>130,0</v>
      </c>
      <c r="L21" s="7" t="str">
        <f>"88,9590"</f>
        <v>88,9590</v>
      </c>
      <c r="M21" s="6" t="s">
        <v>29</v>
      </c>
    </row>
    <row r="22" spans="1:13" ht="12.75">
      <c r="A22" s="23" t="s">
        <v>204</v>
      </c>
      <c r="B22" s="23" t="s">
        <v>205</v>
      </c>
      <c r="C22" s="23" t="s">
        <v>206</v>
      </c>
      <c r="D22" s="23" t="str">
        <f>"0,6894"</f>
        <v>0,6894</v>
      </c>
      <c r="E22" s="23" t="s">
        <v>207</v>
      </c>
      <c r="F22" s="23" t="s">
        <v>20</v>
      </c>
      <c r="G22" s="25" t="s">
        <v>28</v>
      </c>
      <c r="H22" s="25" t="s">
        <v>208</v>
      </c>
      <c r="I22" s="25" t="s">
        <v>190</v>
      </c>
      <c r="J22" s="24"/>
      <c r="K22" s="23" t="str">
        <f>"127,5"</f>
        <v>127,5</v>
      </c>
      <c r="L22" s="25" t="str">
        <f>"87,8985"</f>
        <v>87,8985</v>
      </c>
      <c r="M22" s="23" t="s">
        <v>209</v>
      </c>
    </row>
    <row r="23" spans="1:13" ht="12.75">
      <c r="A23" s="23" t="s">
        <v>211</v>
      </c>
      <c r="B23" s="23" t="s">
        <v>212</v>
      </c>
      <c r="C23" s="23" t="s">
        <v>213</v>
      </c>
      <c r="D23" s="23" t="str">
        <f>"0,6730"</f>
        <v>0,6730</v>
      </c>
      <c r="E23" s="23" t="s">
        <v>207</v>
      </c>
      <c r="F23" s="23" t="s">
        <v>20</v>
      </c>
      <c r="G23" s="25" t="s">
        <v>28</v>
      </c>
      <c r="H23" s="25" t="s">
        <v>130</v>
      </c>
      <c r="I23" s="25" t="s">
        <v>208</v>
      </c>
      <c r="J23" s="24"/>
      <c r="K23" s="23" t="str">
        <f>"122,5"</f>
        <v>122,5</v>
      </c>
      <c r="L23" s="25" t="str">
        <f>"82,4425"</f>
        <v>82,4425</v>
      </c>
      <c r="M23" s="23" t="s">
        <v>209</v>
      </c>
    </row>
    <row r="24" spans="1:13" ht="12.75">
      <c r="A24" s="9" t="s">
        <v>215</v>
      </c>
      <c r="B24" s="9" t="s">
        <v>216</v>
      </c>
      <c r="C24" s="9" t="s">
        <v>217</v>
      </c>
      <c r="D24" s="9" t="str">
        <f>"0,6645"</f>
        <v>0,6645</v>
      </c>
      <c r="E24" s="9" t="s">
        <v>123</v>
      </c>
      <c r="F24" s="9" t="s">
        <v>124</v>
      </c>
      <c r="G24" s="10" t="s">
        <v>28</v>
      </c>
      <c r="H24" s="11" t="s">
        <v>130</v>
      </c>
      <c r="I24" s="10" t="s">
        <v>130</v>
      </c>
      <c r="J24" s="11"/>
      <c r="K24" s="9" t="str">
        <f>"120,0"</f>
        <v>120,0</v>
      </c>
      <c r="L24" s="10" t="str">
        <f>"79,7400"</f>
        <v>79,7400</v>
      </c>
      <c r="M24" s="9" t="s">
        <v>125</v>
      </c>
    </row>
    <row r="26" spans="1:12" ht="15">
      <c r="A26" s="54" t="s">
        <v>54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</row>
    <row r="27" spans="1:13" ht="12.75">
      <c r="A27" s="6" t="s">
        <v>219</v>
      </c>
      <c r="B27" s="6" t="s">
        <v>220</v>
      </c>
      <c r="C27" s="6" t="s">
        <v>129</v>
      </c>
      <c r="D27" s="6" t="str">
        <f>"0,6241"</f>
        <v>0,6241</v>
      </c>
      <c r="E27" s="6" t="s">
        <v>19</v>
      </c>
      <c r="F27" s="6" t="s">
        <v>221</v>
      </c>
      <c r="G27" s="7" t="s">
        <v>222</v>
      </c>
      <c r="H27" s="8" t="s">
        <v>223</v>
      </c>
      <c r="I27" s="8" t="s">
        <v>223</v>
      </c>
      <c r="J27" s="8"/>
      <c r="K27" s="6" t="str">
        <f>"142,5"</f>
        <v>142,5</v>
      </c>
      <c r="L27" s="7" t="str">
        <f>"88,9343"</f>
        <v>88,9343</v>
      </c>
      <c r="M27" s="6" t="s">
        <v>29</v>
      </c>
    </row>
    <row r="28" spans="1:13" ht="12.75">
      <c r="A28" s="23" t="s">
        <v>225</v>
      </c>
      <c r="B28" s="23" t="s">
        <v>226</v>
      </c>
      <c r="C28" s="23" t="s">
        <v>227</v>
      </c>
      <c r="D28" s="23" t="str">
        <f>"0,6212"</f>
        <v>0,6212</v>
      </c>
      <c r="E28" s="23" t="s">
        <v>19</v>
      </c>
      <c r="F28" s="23" t="s">
        <v>228</v>
      </c>
      <c r="G28" s="24" t="s">
        <v>130</v>
      </c>
      <c r="H28" s="25" t="s">
        <v>50</v>
      </c>
      <c r="I28" s="24" t="s">
        <v>151</v>
      </c>
      <c r="J28" s="24"/>
      <c r="K28" s="23" t="str">
        <f>"130,0"</f>
        <v>130,0</v>
      </c>
      <c r="L28" s="25" t="str">
        <f>"82,3645"</f>
        <v>82,3645</v>
      </c>
      <c r="M28" s="23" t="s">
        <v>229</v>
      </c>
    </row>
    <row r="29" spans="1:13" ht="12.75">
      <c r="A29" s="23" t="s">
        <v>231</v>
      </c>
      <c r="B29" s="23" t="s">
        <v>232</v>
      </c>
      <c r="C29" s="23" t="s">
        <v>233</v>
      </c>
      <c r="D29" s="23" t="str">
        <f>"0,6273"</f>
        <v>0,6273</v>
      </c>
      <c r="E29" s="23" t="s">
        <v>19</v>
      </c>
      <c r="F29" s="23" t="s">
        <v>20</v>
      </c>
      <c r="G29" s="25" t="s">
        <v>27</v>
      </c>
      <c r="H29" s="25" t="s">
        <v>130</v>
      </c>
      <c r="I29" s="24" t="s">
        <v>50</v>
      </c>
      <c r="J29" s="24"/>
      <c r="K29" s="23" t="str">
        <f>"120,0"</f>
        <v>120,0</v>
      </c>
      <c r="L29" s="25" t="str">
        <f>"76,0288"</f>
        <v>76,0288</v>
      </c>
      <c r="M29" s="23" t="s">
        <v>234</v>
      </c>
    </row>
    <row r="30" spans="1:13" ht="12.75">
      <c r="A30" s="23" t="s">
        <v>236</v>
      </c>
      <c r="B30" s="23" t="s">
        <v>237</v>
      </c>
      <c r="C30" s="23" t="s">
        <v>238</v>
      </c>
      <c r="D30" s="23" t="str">
        <f>"0,6358"</f>
        <v>0,6358</v>
      </c>
      <c r="E30" s="23" t="s">
        <v>19</v>
      </c>
      <c r="F30" s="23" t="s">
        <v>20</v>
      </c>
      <c r="G30" s="25" t="s">
        <v>27</v>
      </c>
      <c r="H30" s="24" t="s">
        <v>130</v>
      </c>
      <c r="I30" s="24" t="s">
        <v>130</v>
      </c>
      <c r="J30" s="24"/>
      <c r="K30" s="23" t="str">
        <f>"110,0"</f>
        <v>110,0</v>
      </c>
      <c r="L30" s="25" t="str">
        <f>"70,6374"</f>
        <v>70,6374</v>
      </c>
      <c r="M30" s="23" t="s">
        <v>234</v>
      </c>
    </row>
    <row r="31" spans="1:13" ht="12.75">
      <c r="A31" s="23" t="s">
        <v>240</v>
      </c>
      <c r="B31" s="23" t="s">
        <v>241</v>
      </c>
      <c r="C31" s="23" t="s">
        <v>242</v>
      </c>
      <c r="D31" s="23" t="str">
        <f>"0,6219"</f>
        <v>0,6219</v>
      </c>
      <c r="E31" s="23" t="s">
        <v>19</v>
      </c>
      <c r="F31" s="23" t="s">
        <v>228</v>
      </c>
      <c r="G31" s="24" t="s">
        <v>59</v>
      </c>
      <c r="H31" s="25" t="s">
        <v>243</v>
      </c>
      <c r="I31" s="25" t="s">
        <v>244</v>
      </c>
      <c r="J31" s="24"/>
      <c r="K31" s="23" t="str">
        <f>"175,0"</f>
        <v>175,0</v>
      </c>
      <c r="L31" s="25" t="str">
        <f>"108,8325"</f>
        <v>108,8325</v>
      </c>
      <c r="M31" s="23" t="s">
        <v>245</v>
      </c>
    </row>
    <row r="32" spans="1:13" ht="12.75">
      <c r="A32" s="23" t="s">
        <v>247</v>
      </c>
      <c r="B32" s="23" t="s">
        <v>248</v>
      </c>
      <c r="C32" s="23" t="s">
        <v>249</v>
      </c>
      <c r="D32" s="23" t="str">
        <f>"0,6279"</f>
        <v>0,6279</v>
      </c>
      <c r="E32" s="23" t="s">
        <v>34</v>
      </c>
      <c r="F32" s="23" t="s">
        <v>20</v>
      </c>
      <c r="G32" s="25" t="s">
        <v>52</v>
      </c>
      <c r="H32" s="24" t="s">
        <v>59</v>
      </c>
      <c r="I32" s="25" t="s">
        <v>243</v>
      </c>
      <c r="J32" s="24"/>
      <c r="K32" s="23" t="str">
        <f>"167,5"</f>
        <v>167,5</v>
      </c>
      <c r="L32" s="25" t="str">
        <f>"105,1733"</f>
        <v>105,1733</v>
      </c>
      <c r="M32" s="23" t="s">
        <v>43</v>
      </c>
    </row>
    <row r="33" spans="1:13" ht="12.75">
      <c r="A33" s="23" t="s">
        <v>251</v>
      </c>
      <c r="B33" s="23" t="s">
        <v>252</v>
      </c>
      <c r="C33" s="23" t="s">
        <v>253</v>
      </c>
      <c r="D33" s="23" t="str">
        <f>"0,6298"</f>
        <v>0,6298</v>
      </c>
      <c r="E33" s="23" t="s">
        <v>19</v>
      </c>
      <c r="F33" s="23" t="s">
        <v>20</v>
      </c>
      <c r="G33" s="25" t="s">
        <v>59</v>
      </c>
      <c r="H33" s="24" t="s">
        <v>69</v>
      </c>
      <c r="I33" s="24" t="s">
        <v>69</v>
      </c>
      <c r="J33" s="24"/>
      <c r="K33" s="23" t="str">
        <f>"160,0"</f>
        <v>160,0</v>
      </c>
      <c r="L33" s="25" t="str">
        <f>"100,7680"</f>
        <v>100,7680</v>
      </c>
      <c r="M33" s="23" t="s">
        <v>29</v>
      </c>
    </row>
    <row r="34" spans="1:13" ht="12.75">
      <c r="A34" s="23" t="s">
        <v>255</v>
      </c>
      <c r="B34" s="23" t="s">
        <v>256</v>
      </c>
      <c r="C34" s="23" t="s">
        <v>257</v>
      </c>
      <c r="D34" s="23" t="str">
        <f>"0,6281"</f>
        <v>0,6281</v>
      </c>
      <c r="E34" s="23" t="s">
        <v>258</v>
      </c>
      <c r="F34" s="23" t="s">
        <v>259</v>
      </c>
      <c r="G34" s="25" t="s">
        <v>260</v>
      </c>
      <c r="H34" s="25" t="s">
        <v>223</v>
      </c>
      <c r="I34" s="24" t="s">
        <v>261</v>
      </c>
      <c r="J34" s="24"/>
      <c r="K34" s="23" t="str">
        <f>"147,5"</f>
        <v>147,5</v>
      </c>
      <c r="L34" s="25" t="str">
        <f>"92,6521"</f>
        <v>92,6521</v>
      </c>
      <c r="M34" s="23" t="s">
        <v>262</v>
      </c>
    </row>
    <row r="35" spans="1:13" ht="12.75">
      <c r="A35" s="23" t="s">
        <v>264</v>
      </c>
      <c r="B35" s="23" t="s">
        <v>265</v>
      </c>
      <c r="C35" s="23" t="s">
        <v>266</v>
      </c>
      <c r="D35" s="23" t="str">
        <f>"0,6246"</f>
        <v>0,6246</v>
      </c>
      <c r="E35" s="23" t="s">
        <v>258</v>
      </c>
      <c r="F35" s="23" t="s">
        <v>259</v>
      </c>
      <c r="G35" s="25" t="s">
        <v>131</v>
      </c>
      <c r="H35" s="25" t="s">
        <v>151</v>
      </c>
      <c r="I35" s="25" t="s">
        <v>66</v>
      </c>
      <c r="J35" s="24"/>
      <c r="K35" s="23" t="str">
        <f>"145,0"</f>
        <v>145,0</v>
      </c>
      <c r="L35" s="25" t="str">
        <f>"90,5670"</f>
        <v>90,5670</v>
      </c>
      <c r="M35" s="23" t="s">
        <v>262</v>
      </c>
    </row>
    <row r="36" spans="1:13" ht="12.75">
      <c r="A36" s="9" t="s">
        <v>267</v>
      </c>
      <c r="B36" s="9" t="s">
        <v>128</v>
      </c>
      <c r="C36" s="9" t="s">
        <v>129</v>
      </c>
      <c r="D36" s="9" t="str">
        <f>"0,6241"</f>
        <v>0,6241</v>
      </c>
      <c r="E36" s="9" t="s">
        <v>123</v>
      </c>
      <c r="F36" s="9" t="s">
        <v>124</v>
      </c>
      <c r="G36" s="10" t="s">
        <v>50</v>
      </c>
      <c r="H36" s="11" t="s">
        <v>151</v>
      </c>
      <c r="I36" s="11" t="s">
        <v>151</v>
      </c>
      <c r="J36" s="11"/>
      <c r="K36" s="9" t="str">
        <f>"130,0"</f>
        <v>130,0</v>
      </c>
      <c r="L36" s="10" t="str">
        <f>"81,1330"</f>
        <v>81,1330</v>
      </c>
      <c r="M36" s="9" t="s">
        <v>125</v>
      </c>
    </row>
    <row r="38" spans="1:12" ht="15">
      <c r="A38" s="54" t="s">
        <v>132</v>
      </c>
      <c r="B38" s="55"/>
      <c r="C38" s="55"/>
      <c r="D38" s="55"/>
      <c r="E38" s="55"/>
      <c r="F38" s="55"/>
      <c r="G38" s="55"/>
      <c r="H38" s="55"/>
      <c r="I38" s="55"/>
      <c r="J38" s="55"/>
      <c r="K38" s="55"/>
      <c r="L38" s="55"/>
    </row>
    <row r="39" spans="1:13" ht="12.75">
      <c r="A39" s="6" t="s">
        <v>269</v>
      </c>
      <c r="B39" s="6" t="s">
        <v>270</v>
      </c>
      <c r="C39" s="6" t="s">
        <v>271</v>
      </c>
      <c r="D39" s="6" t="str">
        <f>"0,6053"</f>
        <v>0,6053</v>
      </c>
      <c r="E39" s="6" t="s">
        <v>207</v>
      </c>
      <c r="F39" s="6" t="s">
        <v>20</v>
      </c>
      <c r="G39" s="7" t="s">
        <v>28</v>
      </c>
      <c r="H39" s="8" t="s">
        <v>208</v>
      </c>
      <c r="I39" s="7" t="s">
        <v>208</v>
      </c>
      <c r="J39" s="8"/>
      <c r="K39" s="6" t="str">
        <f>"122,5"</f>
        <v>122,5</v>
      </c>
      <c r="L39" s="7" t="str">
        <f>"78,5917"</f>
        <v>78,5917</v>
      </c>
      <c r="M39" s="6" t="s">
        <v>209</v>
      </c>
    </row>
    <row r="40" spans="1:13" ht="12.75">
      <c r="A40" s="23" t="s">
        <v>273</v>
      </c>
      <c r="B40" s="23" t="s">
        <v>274</v>
      </c>
      <c r="C40" s="23" t="s">
        <v>275</v>
      </c>
      <c r="D40" s="23" t="str">
        <f>"0,5989"</f>
        <v>0,5989</v>
      </c>
      <c r="E40" s="23" t="s">
        <v>276</v>
      </c>
      <c r="F40" s="23" t="s">
        <v>20</v>
      </c>
      <c r="G40" s="25" t="s">
        <v>52</v>
      </c>
      <c r="H40" s="24" t="s">
        <v>277</v>
      </c>
      <c r="I40" s="24" t="s">
        <v>277</v>
      </c>
      <c r="J40" s="24"/>
      <c r="K40" s="23" t="str">
        <f>"150,0"</f>
        <v>150,0</v>
      </c>
      <c r="L40" s="25" t="str">
        <f>"91,6241"</f>
        <v>91,6241</v>
      </c>
      <c r="M40" s="23" t="s">
        <v>29</v>
      </c>
    </row>
    <row r="41" spans="1:13" ht="12.75">
      <c r="A41" s="23" t="s">
        <v>279</v>
      </c>
      <c r="B41" s="23" t="s">
        <v>280</v>
      </c>
      <c r="C41" s="23" t="s">
        <v>281</v>
      </c>
      <c r="D41" s="23" t="str">
        <f>"0,5865"</f>
        <v>0,5865</v>
      </c>
      <c r="E41" s="23" t="s">
        <v>19</v>
      </c>
      <c r="F41" s="23" t="s">
        <v>20</v>
      </c>
      <c r="G41" s="25" t="s">
        <v>282</v>
      </c>
      <c r="H41" s="25" t="s">
        <v>283</v>
      </c>
      <c r="I41" s="24" t="s">
        <v>284</v>
      </c>
      <c r="J41" s="24"/>
      <c r="K41" s="23" t="str">
        <f>"197,5"</f>
        <v>197,5</v>
      </c>
      <c r="L41" s="25" t="str">
        <f>"115,8337"</f>
        <v>115,8337</v>
      </c>
      <c r="M41" s="23" t="s">
        <v>285</v>
      </c>
    </row>
    <row r="42" spans="1:13" ht="12.75">
      <c r="A42" s="23" t="s">
        <v>287</v>
      </c>
      <c r="B42" s="23" t="s">
        <v>288</v>
      </c>
      <c r="C42" s="23" t="s">
        <v>289</v>
      </c>
      <c r="D42" s="23" t="str">
        <f>"0,5935"</f>
        <v>0,5935</v>
      </c>
      <c r="E42" s="23" t="s">
        <v>19</v>
      </c>
      <c r="F42" s="23" t="s">
        <v>20</v>
      </c>
      <c r="G42" s="25" t="s">
        <v>151</v>
      </c>
      <c r="H42" s="24" t="s">
        <v>66</v>
      </c>
      <c r="I42" s="25" t="s">
        <v>66</v>
      </c>
      <c r="J42" s="24"/>
      <c r="K42" s="23" t="str">
        <f>"145,0"</f>
        <v>145,0</v>
      </c>
      <c r="L42" s="25" t="str">
        <f>"86,0575"</f>
        <v>86,0575</v>
      </c>
      <c r="M42" s="23" t="s">
        <v>290</v>
      </c>
    </row>
    <row r="43" spans="1:13" ht="12.75">
      <c r="A43" s="23" t="s">
        <v>292</v>
      </c>
      <c r="B43" s="23" t="s">
        <v>293</v>
      </c>
      <c r="C43" s="23" t="s">
        <v>294</v>
      </c>
      <c r="D43" s="23" t="str">
        <f>"0,6059"</f>
        <v>0,6059</v>
      </c>
      <c r="E43" s="23" t="s">
        <v>34</v>
      </c>
      <c r="F43" s="23" t="s">
        <v>20</v>
      </c>
      <c r="G43" s="24" t="s">
        <v>50</v>
      </c>
      <c r="H43" s="25" t="s">
        <v>151</v>
      </c>
      <c r="I43" s="25" t="s">
        <v>51</v>
      </c>
      <c r="J43" s="24"/>
      <c r="K43" s="23" t="str">
        <f>"140,0"</f>
        <v>140,0</v>
      </c>
      <c r="L43" s="25" t="str">
        <f>"84,8260"</f>
        <v>84,8260</v>
      </c>
      <c r="M43" s="23" t="s">
        <v>43</v>
      </c>
    </row>
    <row r="44" spans="1:13" ht="12.75">
      <c r="A44" s="23" t="s">
        <v>296</v>
      </c>
      <c r="B44" s="23" t="s">
        <v>297</v>
      </c>
      <c r="C44" s="23" t="s">
        <v>298</v>
      </c>
      <c r="D44" s="23" t="str">
        <f>"0,5980"</f>
        <v>0,5980</v>
      </c>
      <c r="E44" s="23" t="s">
        <v>123</v>
      </c>
      <c r="F44" s="23" t="s">
        <v>124</v>
      </c>
      <c r="G44" s="25" t="s">
        <v>50</v>
      </c>
      <c r="H44" s="25" t="s">
        <v>151</v>
      </c>
      <c r="I44" s="24" t="s">
        <v>51</v>
      </c>
      <c r="J44" s="24"/>
      <c r="K44" s="23" t="str">
        <f>"135,0"</f>
        <v>135,0</v>
      </c>
      <c r="L44" s="25" t="str">
        <f>"80,7300"</f>
        <v>80,7300</v>
      </c>
      <c r="M44" s="23" t="s">
        <v>125</v>
      </c>
    </row>
    <row r="45" spans="1:13" ht="12.75">
      <c r="A45" s="23" t="s">
        <v>300</v>
      </c>
      <c r="B45" s="23" t="s">
        <v>301</v>
      </c>
      <c r="C45" s="23" t="s">
        <v>302</v>
      </c>
      <c r="D45" s="23" t="str">
        <f>"0,5918"</f>
        <v>0,5918</v>
      </c>
      <c r="E45" s="23" t="s">
        <v>19</v>
      </c>
      <c r="F45" s="23" t="s">
        <v>20</v>
      </c>
      <c r="G45" s="25" t="s">
        <v>151</v>
      </c>
      <c r="H45" s="24" t="s">
        <v>51</v>
      </c>
      <c r="I45" s="24" t="s">
        <v>51</v>
      </c>
      <c r="J45" s="24"/>
      <c r="K45" s="23" t="str">
        <f>"135,0"</f>
        <v>135,0</v>
      </c>
      <c r="L45" s="25" t="str">
        <f>"79,8930"</f>
        <v>79,8930</v>
      </c>
      <c r="M45" s="23" t="s">
        <v>29</v>
      </c>
    </row>
    <row r="46" spans="1:13" ht="12.75">
      <c r="A46" s="23" t="s">
        <v>304</v>
      </c>
      <c r="B46" s="23" t="s">
        <v>305</v>
      </c>
      <c r="C46" s="23" t="s">
        <v>306</v>
      </c>
      <c r="D46" s="23" t="str">
        <f>"0,5871"</f>
        <v>0,5871</v>
      </c>
      <c r="E46" s="23" t="s">
        <v>207</v>
      </c>
      <c r="F46" s="23" t="s">
        <v>20</v>
      </c>
      <c r="G46" s="25" t="s">
        <v>50</v>
      </c>
      <c r="H46" s="25" t="s">
        <v>151</v>
      </c>
      <c r="I46" s="24" t="s">
        <v>51</v>
      </c>
      <c r="J46" s="24"/>
      <c r="K46" s="23" t="str">
        <f>"135,0"</f>
        <v>135,0</v>
      </c>
      <c r="L46" s="25" t="str">
        <f>"79,2585"</f>
        <v>79,2585</v>
      </c>
      <c r="M46" s="23" t="s">
        <v>209</v>
      </c>
    </row>
    <row r="47" spans="1:13" ht="12.75">
      <c r="A47" s="23" t="s">
        <v>308</v>
      </c>
      <c r="B47" s="23" t="s">
        <v>309</v>
      </c>
      <c r="C47" s="23" t="s">
        <v>136</v>
      </c>
      <c r="D47" s="23" t="str">
        <f>"0,5952"</f>
        <v>0,5952</v>
      </c>
      <c r="E47" s="23" t="s">
        <v>123</v>
      </c>
      <c r="F47" s="23" t="s">
        <v>124</v>
      </c>
      <c r="G47" s="25" t="s">
        <v>130</v>
      </c>
      <c r="H47" s="24" t="s">
        <v>131</v>
      </c>
      <c r="I47" s="24" t="s">
        <v>131</v>
      </c>
      <c r="J47" s="24"/>
      <c r="K47" s="23" t="str">
        <f>"120,0"</f>
        <v>120,0</v>
      </c>
      <c r="L47" s="25" t="str">
        <f>"71,4240"</f>
        <v>71,4240</v>
      </c>
      <c r="M47" s="23" t="s">
        <v>125</v>
      </c>
    </row>
    <row r="48" spans="1:13" ht="12.75">
      <c r="A48" s="9" t="s">
        <v>134</v>
      </c>
      <c r="B48" s="9" t="s">
        <v>135</v>
      </c>
      <c r="C48" s="9" t="s">
        <v>136</v>
      </c>
      <c r="D48" s="9" t="str">
        <f>"0,5952"</f>
        <v>0,5952</v>
      </c>
      <c r="E48" s="9" t="s">
        <v>123</v>
      </c>
      <c r="F48" s="9" t="s">
        <v>124</v>
      </c>
      <c r="G48" s="10" t="s">
        <v>130</v>
      </c>
      <c r="H48" s="10" t="s">
        <v>131</v>
      </c>
      <c r="I48" s="10" t="s">
        <v>50</v>
      </c>
      <c r="J48" s="11"/>
      <c r="K48" s="9" t="str">
        <f>"130,0"</f>
        <v>130,0</v>
      </c>
      <c r="L48" s="10" t="str">
        <f>"84,4946"</f>
        <v>84,4946</v>
      </c>
      <c r="M48" s="9" t="s">
        <v>125</v>
      </c>
    </row>
    <row r="50" spans="1:12" ht="15">
      <c r="A50" s="54" t="s">
        <v>137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</row>
    <row r="51" spans="1:13" ht="12.75">
      <c r="A51" s="6" t="s">
        <v>311</v>
      </c>
      <c r="B51" s="6" t="s">
        <v>312</v>
      </c>
      <c r="C51" s="6" t="s">
        <v>313</v>
      </c>
      <c r="D51" s="6" t="str">
        <f>"0,5562"</f>
        <v>0,5562</v>
      </c>
      <c r="E51" s="6" t="s">
        <v>19</v>
      </c>
      <c r="F51" s="6" t="s">
        <v>20</v>
      </c>
      <c r="G51" s="7" t="s">
        <v>66</v>
      </c>
      <c r="H51" s="8" t="s">
        <v>223</v>
      </c>
      <c r="I51" s="7" t="s">
        <v>223</v>
      </c>
      <c r="J51" s="8"/>
      <c r="K51" s="6" t="str">
        <f>"147,5"</f>
        <v>147,5</v>
      </c>
      <c r="L51" s="7" t="str">
        <f>"82,0321"</f>
        <v>82,0321</v>
      </c>
      <c r="M51" s="6" t="s">
        <v>314</v>
      </c>
    </row>
    <row r="52" spans="1:13" ht="12.75">
      <c r="A52" s="23" t="s">
        <v>316</v>
      </c>
      <c r="B52" s="23" t="s">
        <v>317</v>
      </c>
      <c r="C52" s="23" t="s">
        <v>318</v>
      </c>
      <c r="D52" s="23" t="str">
        <f>"0,5591"</f>
        <v>0,5591</v>
      </c>
      <c r="E52" s="23" t="s">
        <v>207</v>
      </c>
      <c r="F52" s="23" t="s">
        <v>20</v>
      </c>
      <c r="G52" s="25" t="s">
        <v>60</v>
      </c>
      <c r="H52" s="25" t="s">
        <v>61</v>
      </c>
      <c r="I52" s="25" t="s">
        <v>319</v>
      </c>
      <c r="J52" s="24"/>
      <c r="K52" s="23" t="str">
        <f>"182,5"</f>
        <v>182,5</v>
      </c>
      <c r="L52" s="25" t="str">
        <f>"102,0357"</f>
        <v>102,0357</v>
      </c>
      <c r="M52" s="23" t="s">
        <v>209</v>
      </c>
    </row>
    <row r="53" spans="1:13" ht="12.75">
      <c r="A53" s="23" t="s">
        <v>321</v>
      </c>
      <c r="B53" s="23" t="s">
        <v>322</v>
      </c>
      <c r="C53" s="23" t="s">
        <v>323</v>
      </c>
      <c r="D53" s="23" t="str">
        <f>"0,5574"</f>
        <v>0,5574</v>
      </c>
      <c r="E53" s="36" t="s">
        <v>324</v>
      </c>
      <c r="F53" s="23" t="s">
        <v>20</v>
      </c>
      <c r="G53" s="25" t="s">
        <v>277</v>
      </c>
      <c r="H53" s="25" t="s">
        <v>325</v>
      </c>
      <c r="I53" s="25" t="s">
        <v>60</v>
      </c>
      <c r="J53" s="24"/>
      <c r="K53" s="23" t="str">
        <f>"170,0"</f>
        <v>170,0</v>
      </c>
      <c r="L53" s="25" t="str">
        <f>"94,7580"</f>
        <v>94,7580</v>
      </c>
      <c r="M53" s="23" t="s">
        <v>326</v>
      </c>
    </row>
    <row r="54" spans="1:13" ht="12.75">
      <c r="A54" s="23" t="s">
        <v>328</v>
      </c>
      <c r="B54" s="23" t="s">
        <v>329</v>
      </c>
      <c r="C54" s="23" t="s">
        <v>330</v>
      </c>
      <c r="D54" s="23" t="str">
        <f>"0,5619"</f>
        <v>0,5619</v>
      </c>
      <c r="E54" s="36" t="s">
        <v>331</v>
      </c>
      <c r="F54" s="23" t="s">
        <v>20</v>
      </c>
      <c r="G54" s="25" t="s">
        <v>277</v>
      </c>
      <c r="H54" s="25" t="s">
        <v>69</v>
      </c>
      <c r="I54" s="24" t="s">
        <v>60</v>
      </c>
      <c r="J54" s="24"/>
      <c r="K54" s="23" t="str">
        <f>"165,0"</f>
        <v>165,0</v>
      </c>
      <c r="L54" s="25" t="str">
        <f>"92,7135"</f>
        <v>92,7135</v>
      </c>
      <c r="M54" s="23" t="s">
        <v>29</v>
      </c>
    </row>
    <row r="55" spans="1:13" ht="12.75">
      <c r="A55" s="9" t="s">
        <v>139</v>
      </c>
      <c r="B55" s="9" t="s">
        <v>140</v>
      </c>
      <c r="C55" s="9" t="s">
        <v>141</v>
      </c>
      <c r="D55" s="9" t="str">
        <f>"0,5551"</f>
        <v>0,5551</v>
      </c>
      <c r="E55" s="9" t="s">
        <v>19</v>
      </c>
      <c r="F55" s="9" t="s">
        <v>20</v>
      </c>
      <c r="G55" s="10" t="s">
        <v>28</v>
      </c>
      <c r="H55" s="10" t="s">
        <v>131</v>
      </c>
      <c r="I55" s="11" t="s">
        <v>50</v>
      </c>
      <c r="J55" s="11"/>
      <c r="K55" s="9" t="str">
        <f>"125,0"</f>
        <v>125,0</v>
      </c>
      <c r="L55" s="10" t="str">
        <f>"95,7634"</f>
        <v>95,7634</v>
      </c>
      <c r="M55" s="9" t="s">
        <v>29</v>
      </c>
    </row>
    <row r="57" spans="1:12" ht="15">
      <c r="A57" s="54" t="s">
        <v>332</v>
      </c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</row>
    <row r="58" spans="1:13" ht="12.75">
      <c r="A58" s="6" t="s">
        <v>334</v>
      </c>
      <c r="B58" s="6" t="s">
        <v>335</v>
      </c>
      <c r="C58" s="6" t="s">
        <v>336</v>
      </c>
      <c r="D58" s="6" t="str">
        <f>"0,5487"</f>
        <v>0,5487</v>
      </c>
      <c r="E58" s="6" t="s">
        <v>19</v>
      </c>
      <c r="F58" s="6" t="s">
        <v>20</v>
      </c>
      <c r="G58" s="8" t="s">
        <v>61</v>
      </c>
      <c r="H58" s="8" t="s">
        <v>61</v>
      </c>
      <c r="I58" s="7" t="s">
        <v>61</v>
      </c>
      <c r="J58" s="8"/>
      <c r="K58" s="6" t="str">
        <f>"180,0"</f>
        <v>180,0</v>
      </c>
      <c r="L58" s="7" t="str">
        <f>"98,7660"</f>
        <v>98,7660</v>
      </c>
      <c r="M58" s="6" t="s">
        <v>29</v>
      </c>
    </row>
    <row r="59" spans="1:13" ht="12.75">
      <c r="A59" s="23" t="s">
        <v>338</v>
      </c>
      <c r="B59" s="23" t="s">
        <v>339</v>
      </c>
      <c r="C59" s="23" t="s">
        <v>340</v>
      </c>
      <c r="D59" s="23" t="str">
        <f>"0,5396"</f>
        <v>0,5396</v>
      </c>
      <c r="E59" s="23" t="s">
        <v>19</v>
      </c>
      <c r="F59" s="23" t="s">
        <v>20</v>
      </c>
      <c r="G59" s="25" t="s">
        <v>59</v>
      </c>
      <c r="H59" s="24" t="s">
        <v>243</v>
      </c>
      <c r="I59" s="24" t="s">
        <v>243</v>
      </c>
      <c r="J59" s="24"/>
      <c r="K59" s="23" t="str">
        <f>"160,0"</f>
        <v>160,0</v>
      </c>
      <c r="L59" s="25" t="str">
        <f>"86,3360"</f>
        <v>86,3360</v>
      </c>
      <c r="M59" s="23" t="s">
        <v>234</v>
      </c>
    </row>
    <row r="60" spans="1:13" ht="12.75">
      <c r="A60" s="9" t="s">
        <v>342</v>
      </c>
      <c r="B60" s="9" t="s">
        <v>343</v>
      </c>
      <c r="C60" s="9" t="s">
        <v>344</v>
      </c>
      <c r="D60" s="9" t="str">
        <f>"0,5503"</f>
        <v>0,5503</v>
      </c>
      <c r="E60" s="9" t="s">
        <v>123</v>
      </c>
      <c r="F60" s="9" t="s">
        <v>124</v>
      </c>
      <c r="G60" s="11" t="s">
        <v>131</v>
      </c>
      <c r="H60" s="10" t="s">
        <v>131</v>
      </c>
      <c r="I60" s="11" t="s">
        <v>50</v>
      </c>
      <c r="J60" s="11"/>
      <c r="K60" s="9" t="str">
        <f>"125,0"</f>
        <v>125,0</v>
      </c>
      <c r="L60" s="10" t="str">
        <f>"68,7875"</f>
        <v>68,7875</v>
      </c>
      <c r="M60" s="9" t="s">
        <v>125</v>
      </c>
    </row>
    <row r="62" spans="1:12" ht="15">
      <c r="A62" s="54" t="s">
        <v>142</v>
      </c>
      <c r="B62" s="55"/>
      <c r="C62" s="55"/>
      <c r="D62" s="55"/>
      <c r="E62" s="55"/>
      <c r="F62" s="55"/>
      <c r="G62" s="55"/>
      <c r="H62" s="55"/>
      <c r="I62" s="55"/>
      <c r="J62" s="55"/>
      <c r="K62" s="55"/>
      <c r="L62" s="55"/>
    </row>
    <row r="63" spans="1:13" ht="12.75">
      <c r="A63" s="6" t="s">
        <v>144</v>
      </c>
      <c r="B63" s="6" t="s">
        <v>145</v>
      </c>
      <c r="C63" s="6" t="s">
        <v>146</v>
      </c>
      <c r="D63" s="6" t="str">
        <f>"0,5290"</f>
        <v>0,5290</v>
      </c>
      <c r="E63" s="6" t="s">
        <v>19</v>
      </c>
      <c r="F63" s="6" t="s">
        <v>20</v>
      </c>
      <c r="G63" s="8" t="s">
        <v>244</v>
      </c>
      <c r="H63" s="7" t="s">
        <v>244</v>
      </c>
      <c r="I63" s="8" t="s">
        <v>61</v>
      </c>
      <c r="J63" s="8"/>
      <c r="K63" s="6" t="str">
        <f>"175,0"</f>
        <v>175,0</v>
      </c>
      <c r="L63" s="7" t="str">
        <f>"92,5837"</f>
        <v>92,5837</v>
      </c>
      <c r="M63" s="6" t="s">
        <v>29</v>
      </c>
    </row>
    <row r="64" spans="1:13" ht="12.75">
      <c r="A64" s="9" t="s">
        <v>148</v>
      </c>
      <c r="B64" s="9" t="s">
        <v>149</v>
      </c>
      <c r="C64" s="9" t="s">
        <v>150</v>
      </c>
      <c r="D64" s="9" t="str">
        <f>"0,5272"</f>
        <v>0,5272</v>
      </c>
      <c r="E64" s="9" t="s">
        <v>123</v>
      </c>
      <c r="F64" s="9" t="s">
        <v>124</v>
      </c>
      <c r="G64" s="10" t="s">
        <v>51</v>
      </c>
      <c r="H64" s="10" t="s">
        <v>223</v>
      </c>
      <c r="I64" s="10" t="s">
        <v>52</v>
      </c>
      <c r="J64" s="11"/>
      <c r="K64" s="9" t="str">
        <f>"150,0"</f>
        <v>150,0</v>
      </c>
      <c r="L64" s="10" t="str">
        <f>"113,0844"</f>
        <v>113,0844</v>
      </c>
      <c r="M64" s="9" t="s">
        <v>125</v>
      </c>
    </row>
    <row r="66" spans="5:6" ht="15">
      <c r="E66" s="15" t="s">
        <v>70</v>
      </c>
      <c r="F66" s="49" t="s">
        <v>950</v>
      </c>
    </row>
    <row r="67" spans="5:6" ht="15">
      <c r="E67" s="15" t="s">
        <v>71</v>
      </c>
      <c r="F67" s="49" t="s">
        <v>949</v>
      </c>
    </row>
    <row r="68" spans="5:6" ht="15">
      <c r="E68" s="15" t="s">
        <v>72</v>
      </c>
      <c r="F68" s="49" t="s">
        <v>950</v>
      </c>
    </row>
    <row r="69" spans="5:6" ht="15">
      <c r="E69" s="15" t="s">
        <v>73</v>
      </c>
      <c r="F69" s="49" t="s">
        <v>951</v>
      </c>
    </row>
    <row r="70" spans="5:6" ht="15">
      <c r="E70" s="15" t="s">
        <v>73</v>
      </c>
      <c r="F70" s="49" t="s">
        <v>952</v>
      </c>
    </row>
    <row r="71" spans="5:6" ht="15">
      <c r="E71" s="15" t="s">
        <v>74</v>
      </c>
      <c r="F71" s="49" t="s">
        <v>953</v>
      </c>
    </row>
    <row r="72" ht="15">
      <c r="E72" s="15"/>
    </row>
    <row r="74" spans="1:2" ht="18">
      <c r="A74" s="16" t="s">
        <v>75</v>
      </c>
      <c r="B74" s="16"/>
    </row>
    <row r="75" spans="1:2" ht="15">
      <c r="A75" s="17" t="s">
        <v>76</v>
      </c>
      <c r="B75" s="17"/>
    </row>
    <row r="76" spans="1:2" ht="14.25">
      <c r="A76" s="19"/>
      <c r="B76" s="20" t="s">
        <v>77</v>
      </c>
    </row>
    <row r="77" spans="1:5" ht="15">
      <c r="A77" s="21" t="s">
        <v>78</v>
      </c>
      <c r="B77" s="21" t="s">
        <v>79</v>
      </c>
      <c r="C77" s="21" t="s">
        <v>80</v>
      </c>
      <c r="D77" s="21" t="s">
        <v>81</v>
      </c>
      <c r="E77" s="21" t="s">
        <v>82</v>
      </c>
    </row>
    <row r="78" spans="1:5" ht="12.75">
      <c r="A78" s="18" t="s">
        <v>166</v>
      </c>
      <c r="B78" s="4" t="s">
        <v>77</v>
      </c>
      <c r="C78" s="4" t="s">
        <v>86</v>
      </c>
      <c r="D78" s="4" t="s">
        <v>171</v>
      </c>
      <c r="E78" s="22" t="s">
        <v>345</v>
      </c>
    </row>
    <row r="79" spans="1:5" ht="12.75">
      <c r="A79" s="18" t="s">
        <v>15</v>
      </c>
      <c r="B79" s="4" t="s">
        <v>77</v>
      </c>
      <c r="C79" s="4" t="s">
        <v>86</v>
      </c>
      <c r="D79" s="4" t="s">
        <v>24</v>
      </c>
      <c r="E79" s="22" t="s">
        <v>346</v>
      </c>
    </row>
    <row r="81" spans="1:2" ht="14.25">
      <c r="A81" s="19"/>
      <c r="B81" s="20" t="s">
        <v>106</v>
      </c>
    </row>
    <row r="82" spans="1:5" ht="15">
      <c r="A82" s="21" t="s">
        <v>78</v>
      </c>
      <c r="B82" s="21" t="s">
        <v>79</v>
      </c>
      <c r="C82" s="21" t="s">
        <v>80</v>
      </c>
      <c r="D82" s="21" t="s">
        <v>81</v>
      </c>
      <c r="E82" s="21" t="s">
        <v>82</v>
      </c>
    </row>
    <row r="83" spans="1:5" ht="12.75">
      <c r="A83" s="18" t="s">
        <v>173</v>
      </c>
      <c r="B83" s="4" t="s">
        <v>347</v>
      </c>
      <c r="C83" s="4" t="s">
        <v>108</v>
      </c>
      <c r="D83" s="4" t="s">
        <v>39</v>
      </c>
      <c r="E83" s="22" t="s">
        <v>348</v>
      </c>
    </row>
    <row r="86" spans="1:2" ht="15">
      <c r="A86" s="17" t="s">
        <v>91</v>
      </c>
      <c r="B86" s="17"/>
    </row>
    <row r="87" spans="1:2" ht="14.25">
      <c r="A87" s="19"/>
      <c r="B87" s="20" t="s">
        <v>349</v>
      </c>
    </row>
    <row r="88" spans="1:5" ht="15">
      <c r="A88" s="21" t="s">
        <v>78</v>
      </c>
      <c r="B88" s="21" t="s">
        <v>79</v>
      </c>
      <c r="C88" s="21" t="s">
        <v>80</v>
      </c>
      <c r="D88" s="21" t="s">
        <v>81</v>
      </c>
      <c r="E88" s="21" t="s">
        <v>82</v>
      </c>
    </row>
    <row r="89" spans="1:5" ht="12.75">
      <c r="A89" s="18" t="s">
        <v>186</v>
      </c>
      <c r="B89" s="4" t="s">
        <v>350</v>
      </c>
      <c r="C89" s="4" t="s">
        <v>108</v>
      </c>
      <c r="D89" s="4" t="s">
        <v>190</v>
      </c>
      <c r="E89" s="22" t="s">
        <v>351</v>
      </c>
    </row>
    <row r="90" spans="1:5" ht="12.75">
      <c r="A90" s="18" t="s">
        <v>268</v>
      </c>
      <c r="B90" s="4" t="s">
        <v>350</v>
      </c>
      <c r="C90" s="4" t="s">
        <v>162</v>
      </c>
      <c r="D90" s="4" t="s">
        <v>208</v>
      </c>
      <c r="E90" s="22" t="s">
        <v>352</v>
      </c>
    </row>
    <row r="91" spans="1:5" ht="12.75">
      <c r="A91" s="18" t="s">
        <v>179</v>
      </c>
      <c r="B91" s="4" t="s">
        <v>353</v>
      </c>
      <c r="C91" s="4" t="s">
        <v>83</v>
      </c>
      <c r="D91" s="4" t="s">
        <v>177</v>
      </c>
      <c r="E91" s="22" t="s">
        <v>354</v>
      </c>
    </row>
    <row r="93" spans="1:2" ht="14.25">
      <c r="A93" s="19"/>
      <c r="B93" s="20" t="s">
        <v>355</v>
      </c>
    </row>
    <row r="94" spans="1:5" ht="15">
      <c r="A94" s="21" t="s">
        <v>78</v>
      </c>
      <c r="B94" s="21" t="s">
        <v>79</v>
      </c>
      <c r="C94" s="21" t="s">
        <v>80</v>
      </c>
      <c r="D94" s="21" t="s">
        <v>81</v>
      </c>
      <c r="E94" s="21" t="s">
        <v>82</v>
      </c>
    </row>
    <row r="95" spans="1:5" ht="12.75">
      <c r="A95" s="18" t="s">
        <v>191</v>
      </c>
      <c r="B95" s="4" t="s">
        <v>356</v>
      </c>
      <c r="C95" s="4" t="s">
        <v>108</v>
      </c>
      <c r="D95" s="4" t="s">
        <v>151</v>
      </c>
      <c r="E95" s="22" t="s">
        <v>357</v>
      </c>
    </row>
    <row r="96" spans="1:5" ht="12.75">
      <c r="A96" s="18" t="s">
        <v>272</v>
      </c>
      <c r="B96" s="4" t="s">
        <v>356</v>
      </c>
      <c r="C96" s="4" t="s">
        <v>162</v>
      </c>
      <c r="D96" s="4" t="s">
        <v>52</v>
      </c>
      <c r="E96" s="22" t="s">
        <v>358</v>
      </c>
    </row>
    <row r="97" spans="1:5" ht="12.75">
      <c r="A97" s="18" t="s">
        <v>218</v>
      </c>
      <c r="B97" s="4" t="s">
        <v>356</v>
      </c>
      <c r="C97" s="4" t="s">
        <v>92</v>
      </c>
      <c r="D97" s="4" t="s">
        <v>222</v>
      </c>
      <c r="E97" s="22" t="s">
        <v>359</v>
      </c>
    </row>
    <row r="98" spans="1:5" ht="12.75">
      <c r="A98" s="18" t="s">
        <v>224</v>
      </c>
      <c r="B98" s="4" t="s">
        <v>356</v>
      </c>
      <c r="C98" s="4" t="s">
        <v>92</v>
      </c>
      <c r="D98" s="4" t="s">
        <v>50</v>
      </c>
      <c r="E98" s="22" t="s">
        <v>360</v>
      </c>
    </row>
    <row r="99" spans="1:5" ht="12.75">
      <c r="A99" s="18" t="s">
        <v>310</v>
      </c>
      <c r="B99" s="4" t="s">
        <v>356</v>
      </c>
      <c r="C99" s="4" t="s">
        <v>159</v>
      </c>
      <c r="D99" s="4" t="s">
        <v>223</v>
      </c>
      <c r="E99" s="22" t="s">
        <v>361</v>
      </c>
    </row>
    <row r="100" spans="1:5" ht="12.75">
      <c r="A100" s="18" t="s">
        <v>230</v>
      </c>
      <c r="B100" s="4" t="s">
        <v>356</v>
      </c>
      <c r="C100" s="4" t="s">
        <v>92</v>
      </c>
      <c r="D100" s="4" t="s">
        <v>130</v>
      </c>
      <c r="E100" s="22" t="s">
        <v>362</v>
      </c>
    </row>
    <row r="101" spans="1:5" ht="12.75">
      <c r="A101" s="18" t="s">
        <v>235</v>
      </c>
      <c r="B101" s="4" t="s">
        <v>356</v>
      </c>
      <c r="C101" s="4" t="s">
        <v>92</v>
      </c>
      <c r="D101" s="4" t="s">
        <v>27</v>
      </c>
      <c r="E101" s="22" t="s">
        <v>363</v>
      </c>
    </row>
    <row r="103" spans="1:2" ht="14.25">
      <c r="A103" s="19"/>
      <c r="B103" s="20" t="s">
        <v>77</v>
      </c>
    </row>
    <row r="104" spans="1:5" ht="15">
      <c r="A104" s="21" t="s">
        <v>78</v>
      </c>
      <c r="B104" s="21" t="s">
        <v>79</v>
      </c>
      <c r="C104" s="21" t="s">
        <v>80</v>
      </c>
      <c r="D104" s="21" t="s">
        <v>81</v>
      </c>
      <c r="E104" s="21" t="s">
        <v>82</v>
      </c>
    </row>
    <row r="105" spans="1:5" ht="12.75">
      <c r="A105" s="18" t="s">
        <v>278</v>
      </c>
      <c r="B105" s="4" t="s">
        <v>77</v>
      </c>
      <c r="C105" s="4" t="s">
        <v>162</v>
      </c>
      <c r="D105" s="4" t="s">
        <v>283</v>
      </c>
      <c r="E105" s="22" t="s">
        <v>364</v>
      </c>
    </row>
    <row r="106" spans="1:5" ht="12.75">
      <c r="A106" s="18" t="s">
        <v>239</v>
      </c>
      <c r="B106" s="4" t="s">
        <v>77</v>
      </c>
      <c r="C106" s="4" t="s">
        <v>92</v>
      </c>
      <c r="D106" s="4" t="s">
        <v>244</v>
      </c>
      <c r="E106" s="22" t="s">
        <v>365</v>
      </c>
    </row>
    <row r="107" spans="1:5" ht="12.75">
      <c r="A107" s="18" t="s">
        <v>246</v>
      </c>
      <c r="B107" s="4" t="s">
        <v>77</v>
      </c>
      <c r="C107" s="4" t="s">
        <v>92</v>
      </c>
      <c r="D107" s="4" t="s">
        <v>243</v>
      </c>
      <c r="E107" s="22" t="s">
        <v>366</v>
      </c>
    </row>
    <row r="108" spans="1:5" ht="12.75">
      <c r="A108" s="18" t="s">
        <v>315</v>
      </c>
      <c r="B108" s="4" t="s">
        <v>77</v>
      </c>
      <c r="C108" s="4" t="s">
        <v>159</v>
      </c>
      <c r="D108" s="4" t="s">
        <v>319</v>
      </c>
      <c r="E108" s="22" t="s">
        <v>367</v>
      </c>
    </row>
    <row r="109" spans="1:5" ht="12.75">
      <c r="A109" s="18" t="s">
        <v>250</v>
      </c>
      <c r="B109" s="4" t="s">
        <v>77</v>
      </c>
      <c r="C109" s="4" t="s">
        <v>92</v>
      </c>
      <c r="D109" s="4" t="s">
        <v>59</v>
      </c>
      <c r="E109" s="22" t="s">
        <v>368</v>
      </c>
    </row>
    <row r="110" spans="1:5" ht="12.75">
      <c r="A110" s="18" t="s">
        <v>333</v>
      </c>
      <c r="B110" s="4" t="s">
        <v>77</v>
      </c>
      <c r="C110" s="4" t="s">
        <v>369</v>
      </c>
      <c r="D110" s="4" t="s">
        <v>61</v>
      </c>
      <c r="E110" s="22" t="s">
        <v>370</v>
      </c>
    </row>
    <row r="111" spans="1:5" ht="12.75">
      <c r="A111" s="18" t="s">
        <v>320</v>
      </c>
      <c r="B111" s="4" t="s">
        <v>77</v>
      </c>
      <c r="C111" s="4" t="s">
        <v>159</v>
      </c>
      <c r="D111" s="4" t="s">
        <v>60</v>
      </c>
      <c r="E111" s="22" t="s">
        <v>371</v>
      </c>
    </row>
    <row r="112" spans="1:5" ht="12.75">
      <c r="A112" s="18" t="s">
        <v>327</v>
      </c>
      <c r="B112" s="4" t="s">
        <v>77</v>
      </c>
      <c r="C112" s="4" t="s">
        <v>159</v>
      </c>
      <c r="D112" s="4" t="s">
        <v>69</v>
      </c>
      <c r="E112" s="22" t="s">
        <v>372</v>
      </c>
    </row>
    <row r="113" spans="1:5" ht="12.75">
      <c r="A113" s="18" t="s">
        <v>254</v>
      </c>
      <c r="B113" s="4" t="s">
        <v>77</v>
      </c>
      <c r="C113" s="4" t="s">
        <v>92</v>
      </c>
      <c r="D113" s="4" t="s">
        <v>223</v>
      </c>
      <c r="E113" s="22" t="s">
        <v>373</v>
      </c>
    </row>
    <row r="114" spans="1:5" ht="12.75">
      <c r="A114" s="18" t="s">
        <v>143</v>
      </c>
      <c r="B114" s="4" t="s">
        <v>77</v>
      </c>
      <c r="C114" s="4" t="s">
        <v>152</v>
      </c>
      <c r="D114" s="4" t="s">
        <v>244</v>
      </c>
      <c r="E114" s="22" t="s">
        <v>374</v>
      </c>
    </row>
    <row r="115" spans="1:5" ht="12.75">
      <c r="A115" s="18" t="s">
        <v>263</v>
      </c>
      <c r="B115" s="4" t="s">
        <v>77</v>
      </c>
      <c r="C115" s="4" t="s">
        <v>92</v>
      </c>
      <c r="D115" s="4" t="s">
        <v>66</v>
      </c>
      <c r="E115" s="22" t="s">
        <v>375</v>
      </c>
    </row>
    <row r="116" spans="1:5" ht="12.75">
      <c r="A116" s="18" t="s">
        <v>199</v>
      </c>
      <c r="B116" s="4" t="s">
        <v>77</v>
      </c>
      <c r="C116" s="4" t="s">
        <v>156</v>
      </c>
      <c r="D116" s="4" t="s">
        <v>50</v>
      </c>
      <c r="E116" s="22" t="s">
        <v>376</v>
      </c>
    </row>
    <row r="117" spans="1:5" ht="12.75">
      <c r="A117" s="18" t="s">
        <v>203</v>
      </c>
      <c r="B117" s="4" t="s">
        <v>77</v>
      </c>
      <c r="C117" s="4" t="s">
        <v>156</v>
      </c>
      <c r="D117" s="4" t="s">
        <v>190</v>
      </c>
      <c r="E117" s="22" t="s">
        <v>377</v>
      </c>
    </row>
    <row r="118" spans="1:5" ht="12.75">
      <c r="A118" s="18" t="s">
        <v>337</v>
      </c>
      <c r="B118" s="4" t="s">
        <v>77</v>
      </c>
      <c r="C118" s="4" t="s">
        <v>369</v>
      </c>
      <c r="D118" s="4" t="s">
        <v>59</v>
      </c>
      <c r="E118" s="22" t="s">
        <v>378</v>
      </c>
    </row>
    <row r="119" spans="1:5" ht="12.75">
      <c r="A119" s="18" t="s">
        <v>286</v>
      </c>
      <c r="B119" s="4" t="s">
        <v>77</v>
      </c>
      <c r="C119" s="4" t="s">
        <v>162</v>
      </c>
      <c r="D119" s="4" t="s">
        <v>66</v>
      </c>
      <c r="E119" s="22" t="s">
        <v>379</v>
      </c>
    </row>
    <row r="120" spans="1:5" ht="12.75">
      <c r="A120" s="18" t="s">
        <v>291</v>
      </c>
      <c r="B120" s="4" t="s">
        <v>77</v>
      </c>
      <c r="C120" s="4" t="s">
        <v>162</v>
      </c>
      <c r="D120" s="4" t="s">
        <v>51</v>
      </c>
      <c r="E120" s="22" t="s">
        <v>380</v>
      </c>
    </row>
    <row r="121" spans="1:5" ht="12.75">
      <c r="A121" s="18" t="s">
        <v>210</v>
      </c>
      <c r="B121" s="4" t="s">
        <v>77</v>
      </c>
      <c r="C121" s="4" t="s">
        <v>156</v>
      </c>
      <c r="D121" s="4" t="s">
        <v>208</v>
      </c>
      <c r="E121" s="22" t="s">
        <v>381</v>
      </c>
    </row>
    <row r="122" spans="1:5" ht="12.75">
      <c r="A122" s="18" t="s">
        <v>126</v>
      </c>
      <c r="B122" s="4" t="s">
        <v>77</v>
      </c>
      <c r="C122" s="4" t="s">
        <v>92</v>
      </c>
      <c r="D122" s="4" t="s">
        <v>50</v>
      </c>
      <c r="E122" s="22" t="s">
        <v>382</v>
      </c>
    </row>
    <row r="123" spans="1:5" ht="12.75">
      <c r="A123" s="18" t="s">
        <v>295</v>
      </c>
      <c r="B123" s="4" t="s">
        <v>77</v>
      </c>
      <c r="C123" s="4" t="s">
        <v>162</v>
      </c>
      <c r="D123" s="4" t="s">
        <v>151</v>
      </c>
      <c r="E123" s="22" t="s">
        <v>383</v>
      </c>
    </row>
    <row r="124" spans="1:5" ht="12.75">
      <c r="A124" s="18" t="s">
        <v>299</v>
      </c>
      <c r="B124" s="4" t="s">
        <v>77</v>
      </c>
      <c r="C124" s="4" t="s">
        <v>162</v>
      </c>
      <c r="D124" s="4" t="s">
        <v>151</v>
      </c>
      <c r="E124" s="22" t="s">
        <v>384</v>
      </c>
    </row>
    <row r="125" spans="1:5" ht="12.75">
      <c r="A125" s="18" t="s">
        <v>214</v>
      </c>
      <c r="B125" s="4" t="s">
        <v>77</v>
      </c>
      <c r="C125" s="4" t="s">
        <v>156</v>
      </c>
      <c r="D125" s="4" t="s">
        <v>130</v>
      </c>
      <c r="E125" s="22" t="s">
        <v>385</v>
      </c>
    </row>
    <row r="126" spans="1:5" ht="12.75">
      <c r="A126" s="18" t="s">
        <v>303</v>
      </c>
      <c r="B126" s="4" t="s">
        <v>77</v>
      </c>
      <c r="C126" s="4" t="s">
        <v>162</v>
      </c>
      <c r="D126" s="4" t="s">
        <v>151</v>
      </c>
      <c r="E126" s="22" t="s">
        <v>386</v>
      </c>
    </row>
    <row r="127" spans="1:5" ht="12.75">
      <c r="A127" s="18" t="s">
        <v>307</v>
      </c>
      <c r="B127" s="4" t="s">
        <v>77</v>
      </c>
      <c r="C127" s="4" t="s">
        <v>162</v>
      </c>
      <c r="D127" s="4" t="s">
        <v>130</v>
      </c>
      <c r="E127" s="22" t="s">
        <v>387</v>
      </c>
    </row>
    <row r="128" spans="1:5" ht="12.75">
      <c r="A128" s="18" t="s">
        <v>341</v>
      </c>
      <c r="B128" s="4" t="s">
        <v>77</v>
      </c>
      <c r="C128" s="4" t="s">
        <v>369</v>
      </c>
      <c r="D128" s="4" t="s">
        <v>131</v>
      </c>
      <c r="E128" s="22" t="s">
        <v>388</v>
      </c>
    </row>
    <row r="130" spans="1:2" ht="14.25">
      <c r="A130" s="19"/>
      <c r="B130" s="20" t="s">
        <v>106</v>
      </c>
    </row>
    <row r="131" spans="1:5" ht="15">
      <c r="A131" s="21" t="s">
        <v>78</v>
      </c>
      <c r="B131" s="21" t="s">
        <v>79</v>
      </c>
      <c r="C131" s="21" t="s">
        <v>80</v>
      </c>
      <c r="D131" s="21" t="s">
        <v>81</v>
      </c>
      <c r="E131" s="21" t="s">
        <v>82</v>
      </c>
    </row>
    <row r="132" spans="1:5" ht="12.75">
      <c r="A132" s="18" t="s">
        <v>147</v>
      </c>
      <c r="B132" s="4" t="s">
        <v>155</v>
      </c>
      <c r="C132" s="4" t="s">
        <v>152</v>
      </c>
      <c r="D132" s="4" t="s">
        <v>52</v>
      </c>
      <c r="E132" s="22" t="s">
        <v>389</v>
      </c>
    </row>
    <row r="133" spans="1:5" ht="12.75">
      <c r="A133" s="18" t="s">
        <v>138</v>
      </c>
      <c r="B133" s="4" t="s">
        <v>155</v>
      </c>
      <c r="C133" s="4" t="s">
        <v>159</v>
      </c>
      <c r="D133" s="4" t="s">
        <v>131</v>
      </c>
      <c r="E133" s="22" t="s">
        <v>390</v>
      </c>
    </row>
    <row r="134" spans="1:5" ht="12.75">
      <c r="A134" s="18" t="s">
        <v>133</v>
      </c>
      <c r="B134" s="4" t="s">
        <v>161</v>
      </c>
      <c r="C134" s="4" t="s">
        <v>162</v>
      </c>
      <c r="D134" s="4" t="s">
        <v>50</v>
      </c>
      <c r="E134" s="22" t="s">
        <v>391</v>
      </c>
    </row>
  </sheetData>
  <sheetProtection/>
  <mergeCells count="21">
    <mergeCell ref="A62:L62"/>
    <mergeCell ref="A15:L15"/>
    <mergeCell ref="A20:L20"/>
    <mergeCell ref="A26:L26"/>
    <mergeCell ref="A38:L38"/>
    <mergeCell ref="A50:L50"/>
    <mergeCell ref="A57:L57"/>
    <mergeCell ref="A12:L12"/>
    <mergeCell ref="A1:M2"/>
    <mergeCell ref="A3:A4"/>
    <mergeCell ref="B3:B4"/>
    <mergeCell ref="C3:C4"/>
    <mergeCell ref="D3:D4"/>
    <mergeCell ref="E3:E4"/>
    <mergeCell ref="F3:F4"/>
    <mergeCell ref="G3:J3"/>
    <mergeCell ref="K3:K4"/>
    <mergeCell ref="L3:L4"/>
    <mergeCell ref="M3:M4"/>
    <mergeCell ref="A5:L5"/>
    <mergeCell ref="A9:L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24.75390625" style="4" bestFit="1" customWidth="1"/>
    <col min="2" max="2" width="27.75390625" style="4" bestFit="1" customWidth="1"/>
    <col min="3" max="3" width="10.125" style="4" bestFit="1" customWidth="1"/>
    <col min="4" max="4" width="10.25390625" style="4" bestFit="1" customWidth="1"/>
    <col min="5" max="5" width="21.75390625" style="4" bestFit="1" customWidth="1"/>
    <col min="6" max="6" width="34.00390625" style="4" bestFit="1" customWidth="1"/>
    <col min="7" max="7" width="4.625" style="3" bestFit="1" customWidth="1"/>
    <col min="8" max="8" width="4.625" style="27" bestFit="1" customWidth="1"/>
    <col min="9" max="9" width="7.75390625" style="4" bestFit="1" customWidth="1"/>
    <col min="10" max="10" width="8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56" t="s">
        <v>903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66" t="s">
        <v>866</v>
      </c>
      <c r="E3" s="66" t="s">
        <v>4</v>
      </c>
      <c r="F3" s="66" t="s">
        <v>8</v>
      </c>
      <c r="G3" s="66" t="s">
        <v>688</v>
      </c>
      <c r="H3" s="66"/>
      <c r="I3" s="66" t="s">
        <v>691</v>
      </c>
      <c r="J3" s="66" t="s">
        <v>3</v>
      </c>
      <c r="K3" s="67" t="s">
        <v>2</v>
      </c>
    </row>
    <row r="4" spans="1:11" s="1" customFormat="1" ht="21" customHeight="1" thickBot="1">
      <c r="A4" s="63"/>
      <c r="B4" s="65"/>
      <c r="C4" s="65"/>
      <c r="D4" s="65"/>
      <c r="E4" s="65"/>
      <c r="F4" s="65"/>
      <c r="G4" s="5" t="s">
        <v>689</v>
      </c>
      <c r="H4" s="26" t="s">
        <v>690</v>
      </c>
      <c r="I4" s="65"/>
      <c r="J4" s="65"/>
      <c r="K4" s="68"/>
    </row>
    <row r="5" spans="1:10" ht="15">
      <c r="A5" s="52" t="s">
        <v>44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12" t="s">
        <v>180</v>
      </c>
      <c r="B6" s="12" t="s">
        <v>181</v>
      </c>
      <c r="C6" s="12" t="s">
        <v>182</v>
      </c>
      <c r="D6" s="12" t="str">
        <f>"1,0013"</f>
        <v>1,0013</v>
      </c>
      <c r="E6" s="12" t="s">
        <v>183</v>
      </c>
      <c r="F6" s="12" t="s">
        <v>184</v>
      </c>
      <c r="G6" s="13" t="s">
        <v>904</v>
      </c>
      <c r="H6" s="31" t="s">
        <v>905</v>
      </c>
      <c r="I6" s="12" t="str">
        <f>"715,0"</f>
        <v>715,0</v>
      </c>
      <c r="J6" s="13" t="str">
        <f>"715,9295"</f>
        <v>715,9295</v>
      </c>
      <c r="K6" s="12" t="s">
        <v>185</v>
      </c>
    </row>
    <row r="8" spans="1:10" ht="15">
      <c r="A8" s="54" t="s">
        <v>112</v>
      </c>
      <c r="B8" s="55"/>
      <c r="C8" s="55"/>
      <c r="D8" s="55"/>
      <c r="E8" s="55"/>
      <c r="F8" s="55"/>
      <c r="G8" s="55"/>
      <c r="H8" s="55"/>
      <c r="I8" s="55"/>
      <c r="J8" s="55"/>
    </row>
    <row r="9" spans="1:11" ht="12.75">
      <c r="A9" s="12" t="s">
        <v>761</v>
      </c>
      <c r="B9" s="12" t="s">
        <v>115</v>
      </c>
      <c r="C9" s="12" t="s">
        <v>116</v>
      </c>
      <c r="D9" s="12" t="str">
        <f>"0,9239"</f>
        <v>0,9239</v>
      </c>
      <c r="E9" s="12" t="s">
        <v>19</v>
      </c>
      <c r="F9" s="12" t="s">
        <v>20</v>
      </c>
      <c r="G9" s="13" t="s">
        <v>906</v>
      </c>
      <c r="H9" s="31" t="s">
        <v>907</v>
      </c>
      <c r="I9" s="12" t="str">
        <f>"1020,0"</f>
        <v>1020,0</v>
      </c>
      <c r="J9" s="13" t="str">
        <f>"942,3780"</f>
        <v>942,3780</v>
      </c>
      <c r="K9" s="12" t="s">
        <v>29</v>
      </c>
    </row>
    <row r="11" spans="5:6" ht="15">
      <c r="E11" s="15" t="s">
        <v>70</v>
      </c>
      <c r="F11" s="49" t="s">
        <v>950</v>
      </c>
    </row>
    <row r="12" spans="5:6" ht="15">
      <c r="E12" s="15" t="s">
        <v>71</v>
      </c>
      <c r="F12" s="49" t="s">
        <v>949</v>
      </c>
    </row>
    <row r="13" spans="5:6" ht="15">
      <c r="E13" s="15" t="s">
        <v>72</v>
      </c>
      <c r="F13" s="49" t="s">
        <v>950</v>
      </c>
    </row>
    <row r="14" spans="5:6" ht="15">
      <c r="E14" s="15" t="s">
        <v>73</v>
      </c>
      <c r="F14" s="49" t="s">
        <v>951</v>
      </c>
    </row>
    <row r="15" spans="5:6" ht="15">
      <c r="E15" s="15" t="s">
        <v>73</v>
      </c>
      <c r="F15" s="49" t="s">
        <v>952</v>
      </c>
    </row>
    <row r="16" spans="5:6" ht="15">
      <c r="E16" s="15" t="s">
        <v>74</v>
      </c>
      <c r="F16" s="49" t="s">
        <v>953</v>
      </c>
    </row>
    <row r="17" ht="15">
      <c r="E17" s="15"/>
    </row>
    <row r="19" spans="1:2" ht="18">
      <c r="A19" s="16" t="s">
        <v>75</v>
      </c>
      <c r="B19" s="16"/>
    </row>
    <row r="20" spans="1:2" ht="15">
      <c r="A20" s="17" t="s">
        <v>91</v>
      </c>
      <c r="B20" s="17"/>
    </row>
    <row r="21" spans="1:2" ht="14.25">
      <c r="A21" s="19"/>
      <c r="B21" s="20" t="s">
        <v>349</v>
      </c>
    </row>
    <row r="22" spans="1:5" ht="15">
      <c r="A22" s="21" t="s">
        <v>78</v>
      </c>
      <c r="B22" s="21" t="s">
        <v>79</v>
      </c>
      <c r="C22" s="21" t="s">
        <v>80</v>
      </c>
      <c r="D22" s="21" t="s">
        <v>81</v>
      </c>
      <c r="E22" s="21" t="s">
        <v>886</v>
      </c>
    </row>
    <row r="23" spans="1:5" ht="12.75">
      <c r="A23" s="18" t="s">
        <v>113</v>
      </c>
      <c r="B23" s="4" t="s">
        <v>350</v>
      </c>
      <c r="C23" s="4" t="s">
        <v>632</v>
      </c>
      <c r="D23" s="4" t="s">
        <v>908</v>
      </c>
      <c r="E23" s="22" t="s">
        <v>909</v>
      </c>
    </row>
    <row r="24" spans="1:5" ht="12.75">
      <c r="A24" s="18" t="s">
        <v>179</v>
      </c>
      <c r="B24" s="4" t="s">
        <v>353</v>
      </c>
      <c r="C24" s="4" t="s">
        <v>83</v>
      </c>
      <c r="D24" s="4" t="s">
        <v>910</v>
      </c>
      <c r="E24" s="22" t="s">
        <v>911</v>
      </c>
    </row>
  </sheetData>
  <sheetProtection/>
  <mergeCells count="13">
    <mergeCell ref="A5:J5"/>
    <mergeCell ref="A8:J8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1" width="7.75390625" style="4" bestFit="1" customWidth="1"/>
    <col min="12" max="12" width="8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6" t="s">
        <v>111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12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112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114</v>
      </c>
      <c r="B6" s="12" t="s">
        <v>115</v>
      </c>
      <c r="C6" s="12" t="s">
        <v>116</v>
      </c>
      <c r="D6" s="12" t="str">
        <f>"0,8257"</f>
        <v>0,8257</v>
      </c>
      <c r="E6" s="12" t="s">
        <v>19</v>
      </c>
      <c r="F6" s="12" t="s">
        <v>20</v>
      </c>
      <c r="G6" s="14" t="s">
        <v>24</v>
      </c>
      <c r="H6" s="14" t="s">
        <v>117</v>
      </c>
      <c r="I6" s="14" t="s">
        <v>117</v>
      </c>
      <c r="J6" s="14"/>
      <c r="K6" s="12" t="str">
        <f>"0.00"</f>
        <v>0.00</v>
      </c>
      <c r="L6" s="13" t="str">
        <f>"0,0000"</f>
        <v>0,0000</v>
      </c>
      <c r="M6" s="12" t="s">
        <v>29</v>
      </c>
    </row>
    <row r="8" spans="1:12" ht="15">
      <c r="A8" s="54" t="s">
        <v>118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12" t="s">
        <v>120</v>
      </c>
      <c r="B9" s="12" t="s">
        <v>121</v>
      </c>
      <c r="C9" s="12" t="s">
        <v>122</v>
      </c>
      <c r="D9" s="12" t="str">
        <f>"0,6687"</f>
        <v>0,6687</v>
      </c>
      <c r="E9" s="12" t="s">
        <v>123</v>
      </c>
      <c r="F9" s="12" t="s">
        <v>124</v>
      </c>
      <c r="G9" s="14" t="s">
        <v>26</v>
      </c>
      <c r="H9" s="14" t="s">
        <v>26</v>
      </c>
      <c r="I9" s="13" t="s">
        <v>27</v>
      </c>
      <c r="J9" s="14"/>
      <c r="K9" s="12" t="str">
        <f>"110,0"</f>
        <v>110,0</v>
      </c>
      <c r="L9" s="13" t="str">
        <f>"112,9100"</f>
        <v>112,9100</v>
      </c>
      <c r="M9" s="12" t="s">
        <v>125</v>
      </c>
    </row>
    <row r="11" spans="1:12" ht="15">
      <c r="A11" s="54" t="s">
        <v>54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</row>
    <row r="12" spans="1:13" ht="12.75">
      <c r="A12" s="12" t="s">
        <v>127</v>
      </c>
      <c r="B12" s="12" t="s">
        <v>128</v>
      </c>
      <c r="C12" s="12" t="s">
        <v>129</v>
      </c>
      <c r="D12" s="12" t="str">
        <f>"0,6241"</f>
        <v>0,6241</v>
      </c>
      <c r="E12" s="12" t="s">
        <v>123</v>
      </c>
      <c r="F12" s="12" t="s">
        <v>124</v>
      </c>
      <c r="G12" s="13" t="s">
        <v>28</v>
      </c>
      <c r="H12" s="13" t="s">
        <v>130</v>
      </c>
      <c r="I12" s="14" t="s">
        <v>131</v>
      </c>
      <c r="J12" s="14"/>
      <c r="K12" s="12" t="str">
        <f>"120,0"</f>
        <v>120,0</v>
      </c>
      <c r="L12" s="13" t="str">
        <f>"74,8920"</f>
        <v>74,8920</v>
      </c>
      <c r="M12" s="12" t="s">
        <v>125</v>
      </c>
    </row>
    <row r="14" spans="1:12" ht="15">
      <c r="A14" s="54" t="s">
        <v>132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 ht="12.75">
      <c r="A15" s="12" t="s">
        <v>134</v>
      </c>
      <c r="B15" s="12" t="s">
        <v>135</v>
      </c>
      <c r="C15" s="12" t="s">
        <v>136</v>
      </c>
      <c r="D15" s="12" t="str">
        <f>"0,5952"</f>
        <v>0,5952</v>
      </c>
      <c r="E15" s="12" t="s">
        <v>123</v>
      </c>
      <c r="F15" s="12" t="s">
        <v>124</v>
      </c>
      <c r="G15" s="13" t="s">
        <v>28</v>
      </c>
      <c r="H15" s="13" t="s">
        <v>130</v>
      </c>
      <c r="I15" s="13" t="s">
        <v>131</v>
      </c>
      <c r="J15" s="14"/>
      <c r="K15" s="12" t="str">
        <f>"125,0"</f>
        <v>125,0</v>
      </c>
      <c r="L15" s="13" t="str">
        <f>"81,2448"</f>
        <v>81,2448</v>
      </c>
      <c r="M15" s="12" t="s">
        <v>125</v>
      </c>
    </row>
    <row r="17" spans="1:12" ht="15">
      <c r="A17" s="54" t="s">
        <v>137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</row>
    <row r="18" spans="1:13" ht="12.75">
      <c r="A18" s="12" t="s">
        <v>139</v>
      </c>
      <c r="B18" s="12" t="s">
        <v>140</v>
      </c>
      <c r="C18" s="12" t="s">
        <v>141</v>
      </c>
      <c r="D18" s="12" t="str">
        <f>"0,5551"</f>
        <v>0,5551</v>
      </c>
      <c r="E18" s="12" t="s">
        <v>19</v>
      </c>
      <c r="F18" s="12" t="s">
        <v>20</v>
      </c>
      <c r="G18" s="13" t="s">
        <v>49</v>
      </c>
      <c r="H18" s="13" t="s">
        <v>27</v>
      </c>
      <c r="I18" s="14" t="s">
        <v>130</v>
      </c>
      <c r="J18" s="14"/>
      <c r="K18" s="12" t="str">
        <f>"110,0"</f>
        <v>110,0</v>
      </c>
      <c r="L18" s="13" t="str">
        <f>"84,2718"</f>
        <v>84,2718</v>
      </c>
      <c r="M18" s="12" t="s">
        <v>29</v>
      </c>
    </row>
    <row r="20" spans="1:12" ht="15">
      <c r="A20" s="54" t="s">
        <v>142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</row>
    <row r="21" spans="1:13" ht="12.75">
      <c r="A21" s="6" t="s">
        <v>144</v>
      </c>
      <c r="B21" s="6" t="s">
        <v>145</v>
      </c>
      <c r="C21" s="6" t="s">
        <v>146</v>
      </c>
      <c r="D21" s="6" t="str">
        <f>"0,5290"</f>
        <v>0,5290</v>
      </c>
      <c r="E21" s="6" t="s">
        <v>19</v>
      </c>
      <c r="F21" s="6" t="s">
        <v>20</v>
      </c>
      <c r="G21" s="7" t="s">
        <v>59</v>
      </c>
      <c r="H21" s="7" t="s">
        <v>69</v>
      </c>
      <c r="I21" s="7" t="s">
        <v>60</v>
      </c>
      <c r="J21" s="8"/>
      <c r="K21" s="6" t="str">
        <f>"170,0"</f>
        <v>170,0</v>
      </c>
      <c r="L21" s="7" t="str">
        <f>"89,9385"</f>
        <v>89,9385</v>
      </c>
      <c r="M21" s="6" t="s">
        <v>29</v>
      </c>
    </row>
    <row r="22" spans="1:13" ht="12.75">
      <c r="A22" s="9" t="s">
        <v>148</v>
      </c>
      <c r="B22" s="9" t="s">
        <v>149</v>
      </c>
      <c r="C22" s="9" t="s">
        <v>150</v>
      </c>
      <c r="D22" s="9" t="str">
        <f>"0,5272"</f>
        <v>0,5272</v>
      </c>
      <c r="E22" s="9" t="s">
        <v>123</v>
      </c>
      <c r="F22" s="9" t="s">
        <v>124</v>
      </c>
      <c r="G22" s="10" t="s">
        <v>151</v>
      </c>
      <c r="H22" s="10" t="s">
        <v>51</v>
      </c>
      <c r="I22" s="10" t="s">
        <v>66</v>
      </c>
      <c r="J22" s="11"/>
      <c r="K22" s="9" t="str">
        <f>"145,0"</f>
        <v>145,0</v>
      </c>
      <c r="L22" s="10" t="str">
        <f>"109,3149"</f>
        <v>109,3149</v>
      </c>
      <c r="M22" s="9" t="s">
        <v>125</v>
      </c>
    </row>
    <row r="24" spans="5:6" ht="15">
      <c r="E24" s="15" t="s">
        <v>70</v>
      </c>
      <c r="F24" s="49" t="s">
        <v>950</v>
      </c>
    </row>
    <row r="25" spans="5:6" ht="15">
      <c r="E25" s="15" t="s">
        <v>71</v>
      </c>
      <c r="F25" s="49" t="s">
        <v>949</v>
      </c>
    </row>
    <row r="26" spans="5:6" ht="15">
      <c r="E26" s="15" t="s">
        <v>72</v>
      </c>
      <c r="F26" s="49" t="s">
        <v>950</v>
      </c>
    </row>
    <row r="27" spans="5:6" ht="15">
      <c r="E27" s="15" t="s">
        <v>73</v>
      </c>
      <c r="F27" s="49" t="s">
        <v>951</v>
      </c>
    </row>
    <row r="28" spans="5:6" ht="15">
      <c r="E28" s="15" t="s">
        <v>73</v>
      </c>
      <c r="F28" s="49" t="s">
        <v>952</v>
      </c>
    </row>
    <row r="29" spans="5:6" ht="15">
      <c r="E29" s="15" t="s">
        <v>74</v>
      </c>
      <c r="F29" s="49" t="s">
        <v>953</v>
      </c>
    </row>
    <row r="30" ht="15">
      <c r="E30" s="15"/>
    </row>
    <row r="32" spans="1:2" ht="18">
      <c r="A32" s="16" t="s">
        <v>75</v>
      </c>
      <c r="B32" s="16"/>
    </row>
    <row r="33" spans="1:2" ht="15">
      <c r="A33" s="17" t="s">
        <v>91</v>
      </c>
      <c r="B33" s="17"/>
    </row>
    <row r="34" spans="1:2" ht="14.25">
      <c r="A34" s="19"/>
      <c r="B34" s="20" t="s">
        <v>77</v>
      </c>
    </row>
    <row r="35" spans="1:5" ht="15">
      <c r="A35" s="21" t="s">
        <v>78</v>
      </c>
      <c r="B35" s="21" t="s">
        <v>79</v>
      </c>
      <c r="C35" s="21" t="s">
        <v>80</v>
      </c>
      <c r="D35" s="21" t="s">
        <v>81</v>
      </c>
      <c r="E35" s="21" t="s">
        <v>82</v>
      </c>
    </row>
    <row r="36" spans="1:5" ht="12.75">
      <c r="A36" s="18" t="s">
        <v>143</v>
      </c>
      <c r="B36" s="4" t="s">
        <v>77</v>
      </c>
      <c r="C36" s="4" t="s">
        <v>152</v>
      </c>
      <c r="D36" s="4" t="s">
        <v>60</v>
      </c>
      <c r="E36" s="22" t="s">
        <v>153</v>
      </c>
    </row>
    <row r="37" spans="1:5" ht="12.75">
      <c r="A37" s="18" t="s">
        <v>126</v>
      </c>
      <c r="B37" s="4" t="s">
        <v>77</v>
      </c>
      <c r="C37" s="4" t="s">
        <v>92</v>
      </c>
      <c r="D37" s="4" t="s">
        <v>130</v>
      </c>
      <c r="E37" s="22" t="s">
        <v>154</v>
      </c>
    </row>
    <row r="39" spans="1:2" ht="14.25">
      <c r="A39" s="19"/>
      <c r="B39" s="20" t="s">
        <v>106</v>
      </c>
    </row>
    <row r="40" spans="1:5" ht="15">
      <c r="A40" s="21" t="s">
        <v>78</v>
      </c>
      <c r="B40" s="21" t="s">
        <v>79</v>
      </c>
      <c r="C40" s="21" t="s">
        <v>80</v>
      </c>
      <c r="D40" s="21" t="s">
        <v>81</v>
      </c>
      <c r="E40" s="21" t="s">
        <v>82</v>
      </c>
    </row>
    <row r="41" spans="1:5" ht="12.75">
      <c r="A41" s="18" t="s">
        <v>119</v>
      </c>
      <c r="B41" s="4" t="s">
        <v>155</v>
      </c>
      <c r="C41" s="4" t="s">
        <v>156</v>
      </c>
      <c r="D41" s="4" t="s">
        <v>27</v>
      </c>
      <c r="E41" s="22" t="s">
        <v>157</v>
      </c>
    </row>
    <row r="42" spans="1:5" ht="12.75">
      <c r="A42" s="18" t="s">
        <v>147</v>
      </c>
      <c r="B42" s="4" t="s">
        <v>155</v>
      </c>
      <c r="C42" s="4" t="s">
        <v>152</v>
      </c>
      <c r="D42" s="4" t="s">
        <v>66</v>
      </c>
      <c r="E42" s="22" t="s">
        <v>158</v>
      </c>
    </row>
    <row r="43" spans="1:5" ht="12.75">
      <c r="A43" s="18" t="s">
        <v>138</v>
      </c>
      <c r="B43" s="4" t="s">
        <v>155</v>
      </c>
      <c r="C43" s="4" t="s">
        <v>159</v>
      </c>
      <c r="D43" s="4" t="s">
        <v>27</v>
      </c>
      <c r="E43" s="22" t="s">
        <v>160</v>
      </c>
    </row>
    <row r="44" spans="1:5" ht="12.75">
      <c r="A44" s="18" t="s">
        <v>133</v>
      </c>
      <c r="B44" s="4" t="s">
        <v>161</v>
      </c>
      <c r="C44" s="4" t="s">
        <v>162</v>
      </c>
      <c r="D44" s="4" t="s">
        <v>131</v>
      </c>
      <c r="E44" s="22" t="s">
        <v>163</v>
      </c>
    </row>
  </sheetData>
  <sheetProtection/>
  <mergeCells count="17">
    <mergeCell ref="A14:L14"/>
    <mergeCell ref="A17:L17"/>
    <mergeCell ref="A20:L20"/>
    <mergeCell ref="K3:K4"/>
    <mergeCell ref="L3:L4"/>
    <mergeCell ref="M3:M4"/>
    <mergeCell ref="A5:L5"/>
    <mergeCell ref="A8:L8"/>
    <mergeCell ref="A11:L11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0"/>
  <sheetViews>
    <sheetView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7.875" style="4" bestFit="1" customWidth="1"/>
    <col min="7" max="8" width="5.625" style="3" bestFit="1" customWidth="1"/>
    <col min="9" max="9" width="2.125" style="3" bestFit="1" customWidth="1"/>
    <col min="10" max="12" width="4.625" style="3" bestFit="1" customWidth="1"/>
    <col min="13" max="13" width="2.125" style="3" bestFit="1" customWidth="1"/>
    <col min="14" max="14" width="4.625" style="3" bestFit="1" customWidth="1"/>
    <col min="15" max="17" width="5.625" style="3" bestFit="1" customWidth="1"/>
    <col min="18" max="18" width="4.625" style="3" bestFit="1" customWidth="1"/>
    <col min="19" max="19" width="7.75390625" style="4" bestFit="1" customWidth="1"/>
    <col min="20" max="20" width="8.625" style="3" bestFit="1" customWidth="1"/>
    <col min="21" max="21" width="16.125" style="4" bestFit="1" customWidth="1"/>
    <col min="22" max="16384" width="9.125" style="3" customWidth="1"/>
  </cols>
  <sheetData>
    <row r="1" spans="1:21" s="2" customFormat="1" ht="28.5" customHeight="1">
      <c r="A1" s="56" t="s">
        <v>97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11</v>
      </c>
      <c r="H3" s="66"/>
      <c r="I3" s="66"/>
      <c r="J3" s="66"/>
      <c r="K3" s="66" t="s">
        <v>12</v>
      </c>
      <c r="L3" s="66"/>
      <c r="M3" s="66"/>
      <c r="N3" s="66"/>
      <c r="O3" s="66" t="s">
        <v>13</v>
      </c>
      <c r="P3" s="66"/>
      <c r="Q3" s="66"/>
      <c r="R3" s="66"/>
      <c r="S3" s="66" t="s">
        <v>1</v>
      </c>
      <c r="T3" s="66" t="s">
        <v>3</v>
      </c>
      <c r="U3" s="67" t="s">
        <v>2</v>
      </c>
    </row>
    <row r="4" spans="1:21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5"/>
      <c r="T4" s="65"/>
      <c r="U4" s="68"/>
    </row>
    <row r="5" spans="1:20" ht="15">
      <c r="A5" s="52" t="s">
        <v>98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ht="12.75">
      <c r="A6" s="12" t="s">
        <v>100</v>
      </c>
      <c r="B6" s="12" t="s">
        <v>101</v>
      </c>
      <c r="C6" s="12" t="s">
        <v>102</v>
      </c>
      <c r="D6" s="12" t="str">
        <f>"0,7263"</f>
        <v>0,7263</v>
      </c>
      <c r="E6" s="12" t="s">
        <v>19</v>
      </c>
      <c r="F6" s="12" t="s">
        <v>103</v>
      </c>
      <c r="G6" s="13" t="s">
        <v>50</v>
      </c>
      <c r="H6" s="13" t="s">
        <v>51</v>
      </c>
      <c r="I6" s="14"/>
      <c r="J6" s="14"/>
      <c r="K6" s="13" t="s">
        <v>104</v>
      </c>
      <c r="L6" s="14" t="s">
        <v>36</v>
      </c>
      <c r="M6" s="14"/>
      <c r="N6" s="14"/>
      <c r="O6" s="13" t="s">
        <v>52</v>
      </c>
      <c r="P6" s="13" t="s">
        <v>60</v>
      </c>
      <c r="Q6" s="13" t="s">
        <v>105</v>
      </c>
      <c r="R6" s="14"/>
      <c r="S6" s="12" t="str">
        <f>"400,0"</f>
        <v>400,0</v>
      </c>
      <c r="T6" s="13" t="str">
        <f>"493,8840"</f>
        <v>493,8840</v>
      </c>
      <c r="U6" s="12" t="s">
        <v>29</v>
      </c>
    </row>
    <row r="8" spans="5:6" ht="15">
      <c r="E8" s="15" t="s">
        <v>70</v>
      </c>
      <c r="F8" s="49" t="s">
        <v>950</v>
      </c>
    </row>
    <row r="9" spans="5:6" ht="15">
      <c r="E9" s="15" t="s">
        <v>71</v>
      </c>
      <c r="F9" s="49" t="s">
        <v>949</v>
      </c>
    </row>
    <row r="10" spans="5:6" ht="15">
      <c r="E10" s="15" t="s">
        <v>72</v>
      </c>
      <c r="F10" s="49" t="s">
        <v>950</v>
      </c>
    </row>
    <row r="11" spans="5:6" ht="15">
      <c r="E11" s="15" t="s">
        <v>73</v>
      </c>
      <c r="F11" s="49" t="s">
        <v>951</v>
      </c>
    </row>
    <row r="12" spans="5:6" ht="15">
      <c r="E12" s="15" t="s">
        <v>73</v>
      </c>
      <c r="F12" s="49" t="s">
        <v>952</v>
      </c>
    </row>
    <row r="13" spans="5:6" ht="15">
      <c r="E13" s="15" t="s">
        <v>74</v>
      </c>
      <c r="F13" s="49" t="s">
        <v>953</v>
      </c>
    </row>
    <row r="14" ht="15">
      <c r="E14" s="15"/>
    </row>
    <row r="16" spans="1:2" ht="18">
      <c r="A16" s="16" t="s">
        <v>75</v>
      </c>
      <c r="B16" s="16"/>
    </row>
    <row r="17" spans="1:2" ht="15">
      <c r="A17" s="17" t="s">
        <v>91</v>
      </c>
      <c r="B17" s="17"/>
    </row>
    <row r="18" spans="1:2" ht="14.25">
      <c r="A18" s="19"/>
      <c r="B18" s="20" t="s">
        <v>106</v>
      </c>
    </row>
    <row r="19" spans="1:5" ht="15">
      <c r="A19" s="21" t="s">
        <v>78</v>
      </c>
      <c r="B19" s="21" t="s">
        <v>79</v>
      </c>
      <c r="C19" s="21" t="s">
        <v>80</v>
      </c>
      <c r="D19" s="21" t="s">
        <v>81</v>
      </c>
      <c r="E19" s="21" t="s">
        <v>82</v>
      </c>
    </row>
    <row r="20" spans="1:5" ht="12.75">
      <c r="A20" s="18" t="s">
        <v>99</v>
      </c>
      <c r="B20" s="4" t="s">
        <v>107</v>
      </c>
      <c r="C20" s="4" t="s">
        <v>108</v>
      </c>
      <c r="D20" s="4" t="s">
        <v>109</v>
      </c>
      <c r="E20" s="22" t="s">
        <v>110</v>
      </c>
    </row>
  </sheetData>
  <sheetProtection/>
  <mergeCells count="14">
    <mergeCell ref="S3:S4"/>
    <mergeCell ref="T3:T4"/>
    <mergeCell ref="U3:U4"/>
    <mergeCell ref="A5:T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7"/>
  <sheetViews>
    <sheetView tabSelected="1" zoomScalePageLayoutView="0" workbookViewId="0" topLeftCell="A1">
      <selection activeCell="A1" sqref="A1:U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9" width="5.625" style="3" bestFit="1" customWidth="1"/>
    <col min="10" max="10" width="4.625" style="3" bestFit="1" customWidth="1"/>
    <col min="11" max="13" width="5.625" style="3" bestFit="1" customWidth="1"/>
    <col min="14" max="14" width="4.625" style="3" bestFit="1" customWidth="1"/>
    <col min="15" max="17" width="5.625" style="3" bestFit="1" customWidth="1"/>
    <col min="18" max="18" width="4.625" style="3" bestFit="1" customWidth="1"/>
    <col min="19" max="19" width="7.75390625" style="4" bestFit="1" customWidth="1"/>
    <col min="20" max="20" width="8.625" style="3" bestFit="1" customWidth="1"/>
    <col min="21" max="21" width="16.125" style="4" bestFit="1" customWidth="1"/>
    <col min="22" max="16384" width="9.125" style="3" customWidth="1"/>
  </cols>
  <sheetData>
    <row r="1" spans="1:21" s="2" customFormat="1" ht="28.5" customHeight="1">
      <c r="A1" s="56" t="s">
        <v>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8"/>
    </row>
    <row r="2" spans="1:2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1"/>
    </row>
    <row r="3" spans="1:21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11</v>
      </c>
      <c r="H3" s="66"/>
      <c r="I3" s="66"/>
      <c r="J3" s="66"/>
      <c r="K3" s="66" t="s">
        <v>12</v>
      </c>
      <c r="L3" s="66"/>
      <c r="M3" s="66"/>
      <c r="N3" s="66"/>
      <c r="O3" s="66" t="s">
        <v>13</v>
      </c>
      <c r="P3" s="66"/>
      <c r="Q3" s="66"/>
      <c r="R3" s="66"/>
      <c r="S3" s="66" t="s">
        <v>1</v>
      </c>
      <c r="T3" s="66" t="s">
        <v>3</v>
      </c>
      <c r="U3" s="67" t="s">
        <v>2</v>
      </c>
    </row>
    <row r="4" spans="1:21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5">
        <v>1</v>
      </c>
      <c r="L4" s="5">
        <v>2</v>
      </c>
      <c r="M4" s="5">
        <v>3</v>
      </c>
      <c r="N4" s="5" t="s">
        <v>5</v>
      </c>
      <c r="O4" s="5">
        <v>1</v>
      </c>
      <c r="P4" s="5">
        <v>2</v>
      </c>
      <c r="Q4" s="5">
        <v>3</v>
      </c>
      <c r="R4" s="5" t="s">
        <v>5</v>
      </c>
      <c r="S4" s="65"/>
      <c r="T4" s="65"/>
      <c r="U4" s="68"/>
    </row>
    <row r="5" spans="1:20" ht="15">
      <c r="A5" s="52" t="s">
        <v>14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</row>
    <row r="6" spans="1:21" ht="12.75">
      <c r="A6" s="6" t="s">
        <v>16</v>
      </c>
      <c r="B6" s="6" t="s">
        <v>17</v>
      </c>
      <c r="C6" s="6" t="s">
        <v>18</v>
      </c>
      <c r="D6" s="6" t="str">
        <f>"0,9786"</f>
        <v>0,9786</v>
      </c>
      <c r="E6" s="6" t="s">
        <v>19</v>
      </c>
      <c r="F6" s="6" t="s">
        <v>20</v>
      </c>
      <c r="G6" s="7" t="s">
        <v>21</v>
      </c>
      <c r="H6" s="8" t="s">
        <v>22</v>
      </c>
      <c r="I6" s="8" t="s">
        <v>22</v>
      </c>
      <c r="J6" s="8"/>
      <c r="K6" s="7" t="s">
        <v>23</v>
      </c>
      <c r="L6" s="7" t="s">
        <v>24</v>
      </c>
      <c r="M6" s="8" t="s">
        <v>25</v>
      </c>
      <c r="N6" s="8"/>
      <c r="O6" s="7" t="s">
        <v>26</v>
      </c>
      <c r="P6" s="7" t="s">
        <v>27</v>
      </c>
      <c r="Q6" s="7" t="s">
        <v>28</v>
      </c>
      <c r="R6" s="8"/>
      <c r="S6" s="6" t="str">
        <f>"260,0"</f>
        <v>260,0</v>
      </c>
      <c r="T6" s="7" t="str">
        <f>"254,4230"</f>
        <v>254,4230</v>
      </c>
      <c r="U6" s="6" t="s">
        <v>29</v>
      </c>
    </row>
    <row r="7" spans="1:21" ht="12.75">
      <c r="A7" s="9" t="s">
        <v>31</v>
      </c>
      <c r="B7" s="9" t="s">
        <v>32</v>
      </c>
      <c r="C7" s="9" t="s">
        <v>33</v>
      </c>
      <c r="D7" s="9" t="str">
        <f>"0,9825"</f>
        <v>0,9825</v>
      </c>
      <c r="E7" s="9" t="s">
        <v>34</v>
      </c>
      <c r="F7" s="9" t="s">
        <v>20</v>
      </c>
      <c r="G7" s="10" t="s">
        <v>35</v>
      </c>
      <c r="H7" s="11" t="s">
        <v>36</v>
      </c>
      <c r="I7" s="11" t="s">
        <v>36</v>
      </c>
      <c r="J7" s="11"/>
      <c r="K7" s="10" t="s">
        <v>37</v>
      </c>
      <c r="L7" s="10" t="s">
        <v>38</v>
      </c>
      <c r="M7" s="11" t="s">
        <v>39</v>
      </c>
      <c r="N7" s="11"/>
      <c r="O7" s="10" t="s">
        <v>40</v>
      </c>
      <c r="P7" s="10" t="s">
        <v>41</v>
      </c>
      <c r="Q7" s="10" t="s">
        <v>42</v>
      </c>
      <c r="R7" s="11"/>
      <c r="S7" s="9" t="str">
        <f>"212,5"</f>
        <v>212,5</v>
      </c>
      <c r="T7" s="10" t="str">
        <f>"208,7813"</f>
        <v>208,7813</v>
      </c>
      <c r="U7" s="9" t="s">
        <v>43</v>
      </c>
    </row>
    <row r="9" spans="1:20" ht="15">
      <c r="A9" s="54" t="s">
        <v>44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1" ht="12.75">
      <c r="A10" s="12" t="s">
        <v>46</v>
      </c>
      <c r="B10" s="12" t="s">
        <v>47</v>
      </c>
      <c r="C10" s="12" t="s">
        <v>48</v>
      </c>
      <c r="D10" s="12" t="str">
        <f>"0,9256"</f>
        <v>0,9256</v>
      </c>
      <c r="E10" s="12" t="s">
        <v>19</v>
      </c>
      <c r="F10" s="12" t="s">
        <v>20</v>
      </c>
      <c r="G10" s="13" t="s">
        <v>41</v>
      </c>
      <c r="H10" s="13" t="s">
        <v>42</v>
      </c>
      <c r="I10" s="13" t="s">
        <v>49</v>
      </c>
      <c r="J10" s="14"/>
      <c r="K10" s="13" t="s">
        <v>23</v>
      </c>
      <c r="L10" s="13" t="s">
        <v>24</v>
      </c>
      <c r="M10" s="13" t="s">
        <v>25</v>
      </c>
      <c r="N10" s="14"/>
      <c r="O10" s="13" t="s">
        <v>50</v>
      </c>
      <c r="P10" s="13" t="s">
        <v>51</v>
      </c>
      <c r="Q10" s="14" t="s">
        <v>52</v>
      </c>
      <c r="R10" s="14"/>
      <c r="S10" s="12" t="str">
        <f>"300,0"</f>
        <v>300,0</v>
      </c>
      <c r="T10" s="13" t="str">
        <f>"277,6800"</f>
        <v>277,6800</v>
      </c>
      <c r="U10" s="12" t="s">
        <v>53</v>
      </c>
    </row>
    <row r="12" spans="1:20" ht="15">
      <c r="A12" s="54" t="s">
        <v>54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1" ht="12.75">
      <c r="A13" s="6" t="s">
        <v>56</v>
      </c>
      <c r="B13" s="6" t="s">
        <v>57</v>
      </c>
      <c r="C13" s="6" t="s">
        <v>58</v>
      </c>
      <c r="D13" s="6" t="str">
        <f>"0,6329"</f>
        <v>0,6329</v>
      </c>
      <c r="E13" s="6" t="s">
        <v>19</v>
      </c>
      <c r="F13" s="6" t="s">
        <v>20</v>
      </c>
      <c r="G13" s="7" t="s">
        <v>52</v>
      </c>
      <c r="H13" s="7" t="s">
        <v>59</v>
      </c>
      <c r="I13" s="8" t="s">
        <v>60</v>
      </c>
      <c r="J13" s="8"/>
      <c r="K13" s="7" t="s">
        <v>26</v>
      </c>
      <c r="L13" s="8" t="s">
        <v>27</v>
      </c>
      <c r="M13" s="7" t="s">
        <v>27</v>
      </c>
      <c r="N13" s="8"/>
      <c r="O13" s="7" t="s">
        <v>59</v>
      </c>
      <c r="P13" s="7" t="s">
        <v>60</v>
      </c>
      <c r="Q13" s="8" t="s">
        <v>61</v>
      </c>
      <c r="R13" s="8"/>
      <c r="S13" s="6" t="str">
        <f>"440,0"</f>
        <v>440,0</v>
      </c>
      <c r="T13" s="7" t="str">
        <f>"278,4760"</f>
        <v>278,4760</v>
      </c>
      <c r="U13" s="6" t="s">
        <v>29</v>
      </c>
    </row>
    <row r="14" spans="1:21" ht="12.75">
      <c r="A14" s="9" t="s">
        <v>63</v>
      </c>
      <c r="B14" s="9" t="s">
        <v>64</v>
      </c>
      <c r="C14" s="9" t="s">
        <v>65</v>
      </c>
      <c r="D14" s="9" t="str">
        <f>"0,6492"</f>
        <v>0,6492</v>
      </c>
      <c r="E14" s="9" t="s">
        <v>34</v>
      </c>
      <c r="F14" s="9" t="s">
        <v>20</v>
      </c>
      <c r="G14" s="10" t="s">
        <v>66</v>
      </c>
      <c r="H14" s="11" t="s">
        <v>52</v>
      </c>
      <c r="I14" s="11" t="s">
        <v>52</v>
      </c>
      <c r="J14" s="11"/>
      <c r="K14" s="10" t="s">
        <v>42</v>
      </c>
      <c r="L14" s="10" t="s">
        <v>49</v>
      </c>
      <c r="M14" s="11" t="s">
        <v>67</v>
      </c>
      <c r="N14" s="11"/>
      <c r="O14" s="10" t="s">
        <v>52</v>
      </c>
      <c r="P14" s="10" t="s">
        <v>68</v>
      </c>
      <c r="Q14" s="10" t="s">
        <v>69</v>
      </c>
      <c r="R14" s="11"/>
      <c r="S14" s="9" t="str">
        <f>"410,0"</f>
        <v>410,0</v>
      </c>
      <c r="T14" s="10" t="str">
        <f>"266,1720"</f>
        <v>266,1720</v>
      </c>
      <c r="U14" s="9" t="s">
        <v>43</v>
      </c>
    </row>
    <row r="16" spans="5:6" ht="15">
      <c r="E16" s="15" t="s">
        <v>70</v>
      </c>
      <c r="F16" s="49" t="s">
        <v>950</v>
      </c>
    </row>
    <row r="17" spans="5:6" ht="15">
      <c r="E17" s="15" t="s">
        <v>71</v>
      </c>
      <c r="F17" s="49" t="s">
        <v>949</v>
      </c>
    </row>
    <row r="18" spans="5:6" ht="15">
      <c r="E18" s="15" t="s">
        <v>72</v>
      </c>
      <c r="F18" s="49" t="s">
        <v>950</v>
      </c>
    </row>
    <row r="19" spans="5:6" ht="15">
      <c r="E19" s="15" t="s">
        <v>73</v>
      </c>
      <c r="F19" s="49" t="s">
        <v>951</v>
      </c>
    </row>
    <row r="20" spans="5:6" ht="15">
      <c r="E20" s="15" t="s">
        <v>73</v>
      </c>
      <c r="F20" s="49" t="s">
        <v>952</v>
      </c>
    </row>
    <row r="21" spans="5:6" ht="15">
      <c r="E21" s="15" t="s">
        <v>74</v>
      </c>
      <c r="F21" s="49" t="s">
        <v>953</v>
      </c>
    </row>
    <row r="22" ht="15">
      <c r="E22" s="15"/>
    </row>
    <row r="24" spans="1:2" ht="18">
      <c r="A24" s="16" t="s">
        <v>75</v>
      </c>
      <c r="B24" s="16"/>
    </row>
    <row r="25" spans="1:2" ht="15">
      <c r="A25" s="17" t="s">
        <v>76</v>
      </c>
      <c r="B25" s="17"/>
    </row>
    <row r="26" spans="1:2" ht="14.25">
      <c r="A26" s="19"/>
      <c r="B26" s="20" t="s">
        <v>77</v>
      </c>
    </row>
    <row r="27" spans="1:5" ht="15">
      <c r="A27" s="21" t="s">
        <v>78</v>
      </c>
      <c r="B27" s="21" t="s">
        <v>79</v>
      </c>
      <c r="C27" s="21" t="s">
        <v>80</v>
      </c>
      <c r="D27" s="21" t="s">
        <v>81</v>
      </c>
      <c r="E27" s="21" t="s">
        <v>82</v>
      </c>
    </row>
    <row r="28" spans="1:5" ht="12.75">
      <c r="A28" s="18" t="s">
        <v>45</v>
      </c>
      <c r="B28" s="4" t="s">
        <v>77</v>
      </c>
      <c r="C28" s="4" t="s">
        <v>83</v>
      </c>
      <c r="D28" s="4" t="s">
        <v>84</v>
      </c>
      <c r="E28" s="22" t="s">
        <v>85</v>
      </c>
    </row>
    <row r="29" spans="1:5" ht="12.75">
      <c r="A29" s="18" t="s">
        <v>15</v>
      </c>
      <c r="B29" s="4" t="s">
        <v>77</v>
      </c>
      <c r="C29" s="4" t="s">
        <v>86</v>
      </c>
      <c r="D29" s="4" t="s">
        <v>87</v>
      </c>
      <c r="E29" s="22" t="s">
        <v>88</v>
      </c>
    </row>
    <row r="30" spans="1:5" ht="12.75">
      <c r="A30" s="18" t="s">
        <v>30</v>
      </c>
      <c r="B30" s="4" t="s">
        <v>77</v>
      </c>
      <c r="C30" s="4" t="s">
        <v>86</v>
      </c>
      <c r="D30" s="4" t="s">
        <v>89</v>
      </c>
      <c r="E30" s="22" t="s">
        <v>90</v>
      </c>
    </row>
    <row r="33" spans="1:2" ht="15">
      <c r="A33" s="17" t="s">
        <v>91</v>
      </c>
      <c r="B33" s="17"/>
    </row>
    <row r="34" spans="1:2" ht="14.25">
      <c r="A34" s="19"/>
      <c r="B34" s="20" t="s">
        <v>77</v>
      </c>
    </row>
    <row r="35" spans="1:5" ht="15">
      <c r="A35" s="21" t="s">
        <v>78</v>
      </c>
      <c r="B35" s="21" t="s">
        <v>79</v>
      </c>
      <c r="C35" s="21" t="s">
        <v>80</v>
      </c>
      <c r="D35" s="21" t="s">
        <v>81</v>
      </c>
      <c r="E35" s="21" t="s">
        <v>82</v>
      </c>
    </row>
    <row r="36" spans="1:5" ht="12.75">
      <c r="A36" s="18" t="s">
        <v>55</v>
      </c>
      <c r="B36" s="4" t="s">
        <v>77</v>
      </c>
      <c r="C36" s="4" t="s">
        <v>92</v>
      </c>
      <c r="D36" s="4" t="s">
        <v>93</v>
      </c>
      <c r="E36" s="22" t="s">
        <v>94</v>
      </c>
    </row>
    <row r="37" spans="1:5" ht="12.75">
      <c r="A37" s="18" t="s">
        <v>62</v>
      </c>
      <c r="B37" s="4" t="s">
        <v>77</v>
      </c>
      <c r="C37" s="4" t="s">
        <v>92</v>
      </c>
      <c r="D37" s="4" t="s">
        <v>95</v>
      </c>
      <c r="E37" s="22" t="s">
        <v>96</v>
      </c>
    </row>
  </sheetData>
  <sheetProtection/>
  <mergeCells count="16">
    <mergeCell ref="A5:T5"/>
    <mergeCell ref="A9:T9"/>
    <mergeCell ref="A12:T12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 r:id="rId2"/>
  <headerFooter alignWithMargins="0">
    <oddFooter>&amp;L&amp;G&amp;R&amp;D&amp;T&amp;P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9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10.25390625" style="4" bestFit="1" customWidth="1"/>
    <col min="5" max="5" width="21.75390625" style="4" bestFit="1" customWidth="1"/>
    <col min="6" max="6" width="34.00390625" style="4" bestFit="1" customWidth="1"/>
    <col min="7" max="7" width="5.625" style="3" bestFit="1" customWidth="1"/>
    <col min="8" max="8" width="4.625" style="27" bestFit="1" customWidth="1"/>
    <col min="9" max="9" width="7.75390625" style="4" bestFit="1" customWidth="1"/>
    <col min="10" max="10" width="9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56" t="s">
        <v>865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66" t="s">
        <v>866</v>
      </c>
      <c r="E3" s="66" t="s">
        <v>4</v>
      </c>
      <c r="F3" s="66" t="s">
        <v>8</v>
      </c>
      <c r="G3" s="66" t="s">
        <v>688</v>
      </c>
      <c r="H3" s="66"/>
      <c r="I3" s="66" t="s">
        <v>691</v>
      </c>
      <c r="J3" s="66" t="s">
        <v>3</v>
      </c>
      <c r="K3" s="67" t="s">
        <v>2</v>
      </c>
    </row>
    <row r="4" spans="1:11" s="1" customFormat="1" ht="21" customHeight="1" thickBot="1">
      <c r="A4" s="63"/>
      <c r="B4" s="65"/>
      <c r="C4" s="65"/>
      <c r="D4" s="65"/>
      <c r="E4" s="65"/>
      <c r="F4" s="65"/>
      <c r="G4" s="5" t="s">
        <v>689</v>
      </c>
      <c r="H4" s="26" t="s">
        <v>690</v>
      </c>
      <c r="I4" s="65"/>
      <c r="J4" s="65"/>
      <c r="K4" s="68"/>
    </row>
    <row r="5" spans="1:10" ht="15">
      <c r="A5" s="52" t="s">
        <v>98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12" t="s">
        <v>196</v>
      </c>
      <c r="B6" s="12" t="s">
        <v>197</v>
      </c>
      <c r="C6" s="12" t="s">
        <v>198</v>
      </c>
      <c r="D6" s="12" t="str">
        <f>"0,8434"</f>
        <v>0,8434</v>
      </c>
      <c r="E6" s="12" t="s">
        <v>183</v>
      </c>
      <c r="F6" s="12" t="s">
        <v>184</v>
      </c>
      <c r="G6" s="13" t="s">
        <v>171</v>
      </c>
      <c r="H6" s="31" t="s">
        <v>748</v>
      </c>
      <c r="I6" s="12" t="str">
        <f>"1282,5"</f>
        <v>1282,5</v>
      </c>
      <c r="J6" s="13" t="str">
        <f>"1081,6605"</f>
        <v>1081,6605</v>
      </c>
      <c r="K6" s="12" t="s">
        <v>185</v>
      </c>
    </row>
    <row r="8" spans="1:10" ht="15">
      <c r="A8" s="54" t="s">
        <v>118</v>
      </c>
      <c r="B8" s="55"/>
      <c r="C8" s="55"/>
      <c r="D8" s="55"/>
      <c r="E8" s="55"/>
      <c r="F8" s="55"/>
      <c r="G8" s="55"/>
      <c r="H8" s="55"/>
      <c r="I8" s="55"/>
      <c r="J8" s="55"/>
    </row>
    <row r="9" spans="1:11" ht="12.75">
      <c r="A9" s="6" t="s">
        <v>785</v>
      </c>
      <c r="B9" s="6" t="s">
        <v>786</v>
      </c>
      <c r="C9" s="6" t="s">
        <v>534</v>
      </c>
      <c r="D9" s="6" t="str">
        <f>"0,7876"</f>
        <v>0,7876</v>
      </c>
      <c r="E9" s="35" t="s">
        <v>508</v>
      </c>
      <c r="F9" s="6" t="s">
        <v>509</v>
      </c>
      <c r="G9" s="7" t="s">
        <v>36</v>
      </c>
      <c r="H9" s="28" t="s">
        <v>867</v>
      </c>
      <c r="I9" s="6" t="str">
        <f>"1500,0"</f>
        <v>1500,0</v>
      </c>
      <c r="J9" s="7" t="str">
        <f>"1181,4000"</f>
        <v>1181,4000</v>
      </c>
      <c r="K9" s="6" t="s">
        <v>510</v>
      </c>
    </row>
    <row r="10" spans="1:11" ht="12.75">
      <c r="A10" s="9" t="s">
        <v>868</v>
      </c>
      <c r="B10" s="9" t="s">
        <v>205</v>
      </c>
      <c r="C10" s="9" t="s">
        <v>206</v>
      </c>
      <c r="D10" s="9" t="str">
        <f>"0,8238"</f>
        <v>0,8238</v>
      </c>
      <c r="E10" s="34" t="s">
        <v>207</v>
      </c>
      <c r="F10" s="9" t="s">
        <v>20</v>
      </c>
      <c r="G10" s="10" t="s">
        <v>35</v>
      </c>
      <c r="H10" s="30" t="s">
        <v>869</v>
      </c>
      <c r="I10" s="9" t="str">
        <f>"1812,5"</f>
        <v>1812,5</v>
      </c>
      <c r="J10" s="10" t="str">
        <f>"1493,1375"</f>
        <v>1493,1375</v>
      </c>
      <c r="K10" s="9" t="s">
        <v>209</v>
      </c>
    </row>
    <row r="12" spans="1:10" ht="15">
      <c r="A12" s="54" t="s">
        <v>54</v>
      </c>
      <c r="B12" s="55"/>
      <c r="C12" s="55"/>
      <c r="D12" s="55"/>
      <c r="E12" s="55"/>
      <c r="F12" s="55"/>
      <c r="G12" s="55"/>
      <c r="H12" s="55"/>
      <c r="I12" s="55"/>
      <c r="J12" s="55"/>
    </row>
    <row r="13" spans="1:11" ht="12.75">
      <c r="A13" s="6" t="s">
        <v>870</v>
      </c>
      <c r="B13" s="6" t="s">
        <v>248</v>
      </c>
      <c r="C13" s="6" t="s">
        <v>249</v>
      </c>
      <c r="D13" s="6" t="str">
        <f>"0,7713"</f>
        <v>0,7713</v>
      </c>
      <c r="E13" s="35" t="s">
        <v>34</v>
      </c>
      <c r="F13" s="6" t="s">
        <v>20</v>
      </c>
      <c r="G13" s="7" t="s">
        <v>871</v>
      </c>
      <c r="H13" s="28" t="s">
        <v>872</v>
      </c>
      <c r="I13" s="6" t="str">
        <f>"2722,5"</f>
        <v>2722,5</v>
      </c>
      <c r="J13" s="7" t="str">
        <f>"2099,8643"</f>
        <v>2099,8643</v>
      </c>
      <c r="K13" s="6" t="s">
        <v>43</v>
      </c>
    </row>
    <row r="14" spans="1:11" ht="12.75">
      <c r="A14" s="9" t="s">
        <v>873</v>
      </c>
      <c r="B14" s="9" t="s">
        <v>874</v>
      </c>
      <c r="C14" s="9" t="s">
        <v>875</v>
      </c>
      <c r="D14" s="9" t="str">
        <f>"0,7675"</f>
        <v>0,7675</v>
      </c>
      <c r="E14" s="9" t="s">
        <v>19</v>
      </c>
      <c r="F14" s="9" t="s">
        <v>876</v>
      </c>
      <c r="G14" s="11" t="s">
        <v>871</v>
      </c>
      <c r="H14" s="32"/>
      <c r="I14" s="9" t="str">
        <f>"0.00"</f>
        <v>0.00</v>
      </c>
      <c r="J14" s="10" t="str">
        <f>"0,0000"</f>
        <v>0,0000</v>
      </c>
      <c r="K14" s="9" t="s">
        <v>29</v>
      </c>
    </row>
    <row r="16" spans="1:10" ht="15">
      <c r="A16" s="54" t="s">
        <v>132</v>
      </c>
      <c r="B16" s="55"/>
      <c r="C16" s="55"/>
      <c r="D16" s="55"/>
      <c r="E16" s="55"/>
      <c r="F16" s="55"/>
      <c r="G16" s="55"/>
      <c r="H16" s="55"/>
      <c r="I16" s="55"/>
      <c r="J16" s="55"/>
    </row>
    <row r="17" spans="1:11" ht="12.75">
      <c r="A17" s="6" t="s">
        <v>877</v>
      </c>
      <c r="B17" s="6" t="s">
        <v>305</v>
      </c>
      <c r="C17" s="6" t="s">
        <v>878</v>
      </c>
      <c r="D17" s="6" t="str">
        <f>"0,7217"</f>
        <v>0,7217</v>
      </c>
      <c r="E17" s="6" t="s">
        <v>207</v>
      </c>
      <c r="F17" s="6" t="s">
        <v>20</v>
      </c>
      <c r="G17" s="7" t="s">
        <v>41</v>
      </c>
      <c r="H17" s="28" t="s">
        <v>879</v>
      </c>
      <c r="I17" s="6" t="str">
        <f>"1980,0"</f>
        <v>1980,0</v>
      </c>
      <c r="J17" s="7" t="str">
        <f>"1428,9660"</f>
        <v>1428,9660</v>
      </c>
      <c r="K17" s="6" t="s">
        <v>209</v>
      </c>
    </row>
    <row r="18" spans="1:11" ht="12.75">
      <c r="A18" s="23" t="s">
        <v>881</v>
      </c>
      <c r="B18" s="23" t="s">
        <v>882</v>
      </c>
      <c r="C18" s="23" t="s">
        <v>417</v>
      </c>
      <c r="D18" s="23" t="str">
        <f>"0,7308"</f>
        <v>0,7308</v>
      </c>
      <c r="E18" s="36" t="s">
        <v>573</v>
      </c>
      <c r="F18" s="23" t="s">
        <v>20</v>
      </c>
      <c r="G18" s="25" t="s">
        <v>41</v>
      </c>
      <c r="H18" s="29" t="s">
        <v>748</v>
      </c>
      <c r="I18" s="23" t="str">
        <f>"1710,0"</f>
        <v>1710,0</v>
      </c>
      <c r="J18" s="25" t="str">
        <f>"1249,6680"</f>
        <v>1249,6680</v>
      </c>
      <c r="K18" s="23" t="s">
        <v>29</v>
      </c>
    </row>
    <row r="19" spans="1:11" ht="12.75">
      <c r="A19" s="9" t="s">
        <v>705</v>
      </c>
      <c r="B19" s="9" t="s">
        <v>706</v>
      </c>
      <c r="C19" s="9" t="s">
        <v>883</v>
      </c>
      <c r="D19" s="9" t="str">
        <f>"0,7234"</f>
        <v>0,7234</v>
      </c>
      <c r="E19" s="9" t="s">
        <v>207</v>
      </c>
      <c r="F19" s="9" t="s">
        <v>20</v>
      </c>
      <c r="G19" s="10" t="s">
        <v>41</v>
      </c>
      <c r="H19" s="30" t="s">
        <v>884</v>
      </c>
      <c r="I19" s="9" t="str">
        <f>"1350,0"</f>
        <v>1350,0</v>
      </c>
      <c r="J19" s="10" t="str">
        <f>"976,5900"</f>
        <v>976,5900</v>
      </c>
      <c r="K19" s="9" t="s">
        <v>209</v>
      </c>
    </row>
    <row r="21" spans="1:10" ht="15">
      <c r="A21" s="54" t="s">
        <v>137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1" ht="12.75">
      <c r="A22" s="12" t="s">
        <v>311</v>
      </c>
      <c r="B22" s="12" t="s">
        <v>312</v>
      </c>
      <c r="C22" s="12" t="s">
        <v>313</v>
      </c>
      <c r="D22" s="12" t="str">
        <f>"0,6675"</f>
        <v>0,6675</v>
      </c>
      <c r="E22" s="12" t="s">
        <v>19</v>
      </c>
      <c r="F22" s="12" t="s">
        <v>20</v>
      </c>
      <c r="G22" s="13" t="s">
        <v>49</v>
      </c>
      <c r="H22" s="31" t="s">
        <v>885</v>
      </c>
      <c r="I22" s="12" t="str">
        <f>"1800,0"</f>
        <v>1800,0</v>
      </c>
      <c r="J22" s="13" t="str">
        <f>"1201,5000"</f>
        <v>1201,5000</v>
      </c>
      <c r="K22" s="12" t="s">
        <v>314</v>
      </c>
    </row>
    <row r="24" spans="5:6" ht="15">
      <c r="E24" s="15" t="s">
        <v>70</v>
      </c>
      <c r="F24" s="49" t="s">
        <v>950</v>
      </c>
    </row>
    <row r="25" spans="5:6" ht="15">
      <c r="E25" s="15" t="s">
        <v>71</v>
      </c>
      <c r="F25" s="49" t="s">
        <v>949</v>
      </c>
    </row>
    <row r="26" spans="5:6" ht="15">
      <c r="E26" s="15" t="s">
        <v>72</v>
      </c>
      <c r="F26" s="49" t="s">
        <v>950</v>
      </c>
    </row>
    <row r="27" spans="5:6" ht="15">
      <c r="E27" s="15" t="s">
        <v>73</v>
      </c>
      <c r="F27" s="49" t="s">
        <v>951</v>
      </c>
    </row>
    <row r="28" spans="5:6" ht="15">
      <c r="E28" s="15" t="s">
        <v>73</v>
      </c>
      <c r="F28" s="49" t="s">
        <v>952</v>
      </c>
    </row>
    <row r="29" spans="5:6" ht="15">
      <c r="E29" s="15" t="s">
        <v>74</v>
      </c>
      <c r="F29" s="49" t="s">
        <v>953</v>
      </c>
    </row>
    <row r="30" ht="15">
      <c r="E30" s="15"/>
    </row>
    <row r="32" spans="1:2" ht="18">
      <c r="A32" s="16" t="s">
        <v>75</v>
      </c>
      <c r="B32" s="16"/>
    </row>
    <row r="33" spans="1:2" ht="15">
      <c r="A33" s="17" t="s">
        <v>91</v>
      </c>
      <c r="B33" s="17"/>
    </row>
    <row r="34" spans="1:2" ht="14.25">
      <c r="A34" s="19"/>
      <c r="B34" s="20" t="s">
        <v>349</v>
      </c>
    </row>
    <row r="35" spans="1:5" ht="15">
      <c r="A35" s="21" t="s">
        <v>78</v>
      </c>
      <c r="B35" s="21" t="s">
        <v>79</v>
      </c>
      <c r="C35" s="21" t="s">
        <v>80</v>
      </c>
      <c r="D35" s="21" t="s">
        <v>81</v>
      </c>
      <c r="E35" s="21" t="s">
        <v>886</v>
      </c>
    </row>
    <row r="36" spans="1:5" ht="12.75">
      <c r="A36" s="18" t="s">
        <v>784</v>
      </c>
      <c r="B36" s="4" t="s">
        <v>350</v>
      </c>
      <c r="C36" s="4" t="s">
        <v>156</v>
      </c>
      <c r="D36" s="4" t="s">
        <v>887</v>
      </c>
      <c r="E36" s="22" t="s">
        <v>888</v>
      </c>
    </row>
    <row r="38" spans="1:2" ht="14.25">
      <c r="A38" s="19"/>
      <c r="B38" s="20" t="s">
        <v>355</v>
      </c>
    </row>
    <row r="39" spans="1:5" ht="15">
      <c r="A39" s="21" t="s">
        <v>78</v>
      </c>
      <c r="B39" s="21" t="s">
        <v>79</v>
      </c>
      <c r="C39" s="21" t="s">
        <v>80</v>
      </c>
      <c r="D39" s="21" t="s">
        <v>81</v>
      </c>
      <c r="E39" s="21" t="s">
        <v>886</v>
      </c>
    </row>
    <row r="40" spans="1:5" ht="12.75">
      <c r="A40" s="18" t="s">
        <v>310</v>
      </c>
      <c r="B40" s="4" t="s">
        <v>356</v>
      </c>
      <c r="C40" s="4" t="s">
        <v>159</v>
      </c>
      <c r="D40" s="4" t="s">
        <v>889</v>
      </c>
      <c r="E40" s="22" t="s">
        <v>890</v>
      </c>
    </row>
    <row r="42" spans="1:2" ht="14.25">
      <c r="A42" s="19"/>
      <c r="B42" s="20" t="s">
        <v>77</v>
      </c>
    </row>
    <row r="43" spans="1:5" ht="15">
      <c r="A43" s="21" t="s">
        <v>78</v>
      </c>
      <c r="B43" s="21" t="s">
        <v>79</v>
      </c>
      <c r="C43" s="21" t="s">
        <v>80</v>
      </c>
      <c r="D43" s="21" t="s">
        <v>81</v>
      </c>
      <c r="E43" s="21" t="s">
        <v>886</v>
      </c>
    </row>
    <row r="44" spans="1:5" ht="12.75">
      <c r="A44" s="18" t="s">
        <v>246</v>
      </c>
      <c r="B44" s="4" t="s">
        <v>77</v>
      </c>
      <c r="C44" s="4" t="s">
        <v>92</v>
      </c>
      <c r="D44" s="4" t="s">
        <v>891</v>
      </c>
      <c r="E44" s="22" t="s">
        <v>892</v>
      </c>
    </row>
    <row r="45" spans="1:5" ht="12.75">
      <c r="A45" s="18" t="s">
        <v>203</v>
      </c>
      <c r="B45" s="4" t="s">
        <v>77</v>
      </c>
      <c r="C45" s="4" t="s">
        <v>156</v>
      </c>
      <c r="D45" s="4" t="s">
        <v>893</v>
      </c>
      <c r="E45" s="22" t="s">
        <v>894</v>
      </c>
    </row>
    <row r="46" spans="1:5" ht="12.75">
      <c r="A46" s="18" t="s">
        <v>303</v>
      </c>
      <c r="B46" s="4" t="s">
        <v>77</v>
      </c>
      <c r="C46" s="4" t="s">
        <v>162</v>
      </c>
      <c r="D46" s="4" t="s">
        <v>895</v>
      </c>
      <c r="E46" s="22" t="s">
        <v>896</v>
      </c>
    </row>
    <row r="47" spans="1:5" ht="12.75">
      <c r="A47" s="18" t="s">
        <v>880</v>
      </c>
      <c r="B47" s="4" t="s">
        <v>77</v>
      </c>
      <c r="C47" s="4" t="s">
        <v>162</v>
      </c>
      <c r="D47" s="4" t="s">
        <v>897</v>
      </c>
      <c r="E47" s="22" t="s">
        <v>898</v>
      </c>
    </row>
    <row r="48" spans="1:5" ht="12.75">
      <c r="A48" s="18" t="s">
        <v>195</v>
      </c>
      <c r="B48" s="4" t="s">
        <v>77</v>
      </c>
      <c r="C48" s="4" t="s">
        <v>108</v>
      </c>
      <c r="D48" s="4" t="s">
        <v>899</v>
      </c>
      <c r="E48" s="22" t="s">
        <v>900</v>
      </c>
    </row>
    <row r="49" spans="1:5" ht="12.75">
      <c r="A49" s="18" t="s">
        <v>704</v>
      </c>
      <c r="B49" s="4" t="s">
        <v>77</v>
      </c>
      <c r="C49" s="4" t="s">
        <v>162</v>
      </c>
      <c r="D49" s="4" t="s">
        <v>901</v>
      </c>
      <c r="E49" s="22" t="s">
        <v>902</v>
      </c>
    </row>
  </sheetData>
  <sheetProtection/>
  <mergeCells count="16">
    <mergeCell ref="A16:J16"/>
    <mergeCell ref="A21:J21"/>
    <mergeCell ref="I3:I4"/>
    <mergeCell ref="J3:J4"/>
    <mergeCell ref="K3:K4"/>
    <mergeCell ref="A5:J5"/>
    <mergeCell ref="A8:J8"/>
    <mergeCell ref="A12:J12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selection activeCell="A1" sqref="A1:M2"/>
    </sheetView>
  </sheetViews>
  <sheetFormatPr defaultColWidth="9.125" defaultRowHeight="12.75"/>
  <cols>
    <col min="1" max="1" width="24.75390625" style="4" bestFit="1" customWidth="1"/>
    <col min="2" max="2" width="25.2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25.125" style="4" bestFit="1" customWidth="1"/>
    <col min="7" max="10" width="4.625" style="3" bestFit="1" customWidth="1"/>
    <col min="11" max="11" width="7.75390625" style="4" bestFit="1" customWidth="1"/>
    <col min="12" max="12" width="7.625" style="3" bestFit="1" customWidth="1"/>
    <col min="13" max="13" width="12.25390625" style="4" bestFit="1" customWidth="1"/>
    <col min="14" max="16384" width="9.125" style="3" customWidth="1"/>
  </cols>
  <sheetData>
    <row r="1" spans="1:13" s="2" customFormat="1" ht="28.5" customHeight="1">
      <c r="A1" s="56" t="s">
        <v>859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760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54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861</v>
      </c>
      <c r="B6" s="12" t="s">
        <v>862</v>
      </c>
      <c r="C6" s="12" t="s">
        <v>863</v>
      </c>
      <c r="D6" s="12" t="str">
        <f>"0,6315"</f>
        <v>0,6315</v>
      </c>
      <c r="E6" s="12" t="s">
        <v>508</v>
      </c>
      <c r="F6" s="12" t="s">
        <v>509</v>
      </c>
      <c r="G6" s="13" t="s">
        <v>25</v>
      </c>
      <c r="H6" s="14" t="s">
        <v>104</v>
      </c>
      <c r="I6" s="13" t="s">
        <v>104</v>
      </c>
      <c r="J6" s="14"/>
      <c r="K6" s="12" t="str">
        <f>"70,0"</f>
        <v>70,0</v>
      </c>
      <c r="L6" s="13" t="str">
        <f>"44,2050"</f>
        <v>44,2050</v>
      </c>
      <c r="M6" s="12" t="s">
        <v>510</v>
      </c>
    </row>
    <row r="8" spans="5:6" ht="15">
      <c r="E8" s="15" t="s">
        <v>70</v>
      </c>
      <c r="F8" s="49" t="s">
        <v>950</v>
      </c>
    </row>
    <row r="9" spans="5:6" ht="15">
      <c r="E9" s="15" t="s">
        <v>71</v>
      </c>
      <c r="F9" s="49" t="s">
        <v>949</v>
      </c>
    </row>
    <row r="10" spans="5:6" ht="15">
      <c r="E10" s="15" t="s">
        <v>72</v>
      </c>
      <c r="F10" s="49" t="s">
        <v>950</v>
      </c>
    </row>
    <row r="11" spans="5:6" ht="15">
      <c r="E11" s="15" t="s">
        <v>73</v>
      </c>
      <c r="F11" s="49" t="s">
        <v>951</v>
      </c>
    </row>
    <row r="12" spans="5:6" ht="15">
      <c r="E12" s="15" t="s">
        <v>73</v>
      </c>
      <c r="F12" s="49" t="s">
        <v>952</v>
      </c>
    </row>
    <row r="13" spans="5:6" ht="15">
      <c r="E13" s="15" t="s">
        <v>74</v>
      </c>
      <c r="F13" s="49" t="s">
        <v>953</v>
      </c>
    </row>
    <row r="14" ht="15">
      <c r="E14" s="15"/>
    </row>
    <row r="16" spans="1:2" ht="18">
      <c r="A16" s="16" t="s">
        <v>75</v>
      </c>
      <c r="B16" s="16"/>
    </row>
    <row r="17" spans="1:2" ht="15">
      <c r="A17" s="17" t="s">
        <v>91</v>
      </c>
      <c r="B17" s="17"/>
    </row>
    <row r="18" spans="1:2" ht="14.25">
      <c r="A18" s="19"/>
      <c r="B18" s="20" t="s">
        <v>77</v>
      </c>
    </row>
    <row r="19" spans="1:5" ht="15">
      <c r="A19" s="21" t="s">
        <v>78</v>
      </c>
      <c r="B19" s="21" t="s">
        <v>79</v>
      </c>
      <c r="C19" s="21" t="s">
        <v>80</v>
      </c>
      <c r="D19" s="21" t="s">
        <v>81</v>
      </c>
      <c r="E19" s="21" t="s">
        <v>82</v>
      </c>
    </row>
    <row r="20" spans="1:5" ht="12.75">
      <c r="A20" s="18" t="s">
        <v>860</v>
      </c>
      <c r="B20" s="4" t="s">
        <v>77</v>
      </c>
      <c r="C20" s="4" t="s">
        <v>92</v>
      </c>
      <c r="D20" s="4" t="s">
        <v>104</v>
      </c>
      <c r="E20" s="22" t="s">
        <v>864</v>
      </c>
    </row>
  </sheetData>
  <sheetProtection/>
  <mergeCells count="12">
    <mergeCell ref="K3:K4"/>
    <mergeCell ref="L3:L4"/>
    <mergeCell ref="M3:M4"/>
    <mergeCell ref="A5:L5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6"/>
  <sheetViews>
    <sheetView zoomScale="70" zoomScaleNormal="70" zoomScalePageLayoutView="0" workbookViewId="0" topLeftCell="A1">
      <selection activeCell="O4" sqref="O4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8.75390625" style="4" bestFit="1" customWidth="1"/>
    <col min="5" max="5" width="21.75390625" style="4" bestFit="1" customWidth="1"/>
    <col min="6" max="6" width="34.00390625" style="4" bestFit="1" customWidth="1"/>
    <col min="7" max="10" width="4.625" style="3" bestFit="1" customWidth="1"/>
    <col min="11" max="11" width="7.75390625" style="4" bestFit="1" customWidth="1"/>
    <col min="12" max="12" width="7.625" style="3" bestFit="1" customWidth="1"/>
    <col min="13" max="13" width="16.125" style="4" bestFit="1" customWidth="1"/>
    <col min="14" max="16384" width="9.125" style="3" customWidth="1"/>
  </cols>
  <sheetData>
    <row r="1" spans="1:13" s="2" customFormat="1" ht="28.5" customHeight="1">
      <c r="A1" s="56" t="s">
        <v>759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3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1"/>
    </row>
    <row r="3" spans="1:13" s="1" customFormat="1" ht="12.75" customHeight="1">
      <c r="A3" s="62" t="s">
        <v>0</v>
      </c>
      <c r="B3" s="64" t="s">
        <v>6</v>
      </c>
      <c r="C3" s="64" t="s">
        <v>7</v>
      </c>
      <c r="D3" s="66" t="s">
        <v>10</v>
      </c>
      <c r="E3" s="66" t="s">
        <v>4</v>
      </c>
      <c r="F3" s="66" t="s">
        <v>8</v>
      </c>
      <c r="G3" s="66" t="s">
        <v>760</v>
      </c>
      <c r="H3" s="66"/>
      <c r="I3" s="66"/>
      <c r="J3" s="66"/>
      <c r="K3" s="66" t="s">
        <v>164</v>
      </c>
      <c r="L3" s="66" t="s">
        <v>3</v>
      </c>
      <c r="M3" s="67" t="s">
        <v>2</v>
      </c>
    </row>
    <row r="4" spans="1:13" s="1" customFormat="1" ht="21" customHeight="1" thickBot="1">
      <c r="A4" s="63"/>
      <c r="B4" s="65"/>
      <c r="C4" s="65"/>
      <c r="D4" s="65"/>
      <c r="E4" s="65"/>
      <c r="F4" s="65"/>
      <c r="G4" s="5">
        <v>1</v>
      </c>
      <c r="H4" s="5">
        <v>2</v>
      </c>
      <c r="I4" s="5">
        <v>3</v>
      </c>
      <c r="J4" s="5" t="s">
        <v>5</v>
      </c>
      <c r="K4" s="65"/>
      <c r="L4" s="65"/>
      <c r="M4" s="68"/>
    </row>
    <row r="5" spans="1:12" ht="15">
      <c r="A5" s="52" t="s">
        <v>112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</row>
    <row r="6" spans="1:13" ht="12.75">
      <c r="A6" s="12" t="s">
        <v>761</v>
      </c>
      <c r="B6" s="12" t="s">
        <v>115</v>
      </c>
      <c r="C6" s="12" t="s">
        <v>116</v>
      </c>
      <c r="D6" s="12" t="str">
        <f>"0,8257"</f>
        <v>0,8257</v>
      </c>
      <c r="E6" s="12" t="s">
        <v>19</v>
      </c>
      <c r="F6" s="12" t="s">
        <v>20</v>
      </c>
      <c r="G6" s="13" t="s">
        <v>762</v>
      </c>
      <c r="H6" s="14" t="s">
        <v>37</v>
      </c>
      <c r="I6" s="14" t="s">
        <v>37</v>
      </c>
      <c r="J6" s="14"/>
      <c r="K6" s="12" t="str">
        <f>"37,5"</f>
        <v>37,5</v>
      </c>
      <c r="L6" s="13" t="str">
        <f>"32,2023"</f>
        <v>32,2023</v>
      </c>
      <c r="M6" s="12" t="s">
        <v>29</v>
      </c>
    </row>
    <row r="8" spans="1:12" ht="15">
      <c r="A8" s="54" t="s">
        <v>98</v>
      </c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3" ht="12.75">
      <c r="A9" s="6" t="s">
        <v>764</v>
      </c>
      <c r="B9" s="6" t="s">
        <v>765</v>
      </c>
      <c r="C9" s="6" t="s">
        <v>766</v>
      </c>
      <c r="D9" s="6" t="str">
        <f>"0,7870"</f>
        <v>0,7870</v>
      </c>
      <c r="E9" s="6" t="s">
        <v>19</v>
      </c>
      <c r="F9" s="6" t="s">
        <v>767</v>
      </c>
      <c r="G9" s="7" t="s">
        <v>768</v>
      </c>
      <c r="H9" s="7" t="s">
        <v>24</v>
      </c>
      <c r="I9" s="8" t="s">
        <v>117</v>
      </c>
      <c r="J9" s="8"/>
      <c r="K9" s="6" t="str">
        <f>"57,5"</f>
        <v>57,5</v>
      </c>
      <c r="L9" s="7" t="str">
        <f>"45,2525"</f>
        <v>45,2525</v>
      </c>
      <c r="M9" s="6" t="s">
        <v>769</v>
      </c>
    </row>
    <row r="10" spans="1:13" ht="12.75">
      <c r="A10" s="23" t="s">
        <v>771</v>
      </c>
      <c r="B10" s="23" t="s">
        <v>772</v>
      </c>
      <c r="C10" s="23" t="s">
        <v>773</v>
      </c>
      <c r="D10" s="23" t="str">
        <f>"0,7481"</f>
        <v>0,7481</v>
      </c>
      <c r="E10" s="36" t="s">
        <v>774</v>
      </c>
      <c r="F10" s="23" t="s">
        <v>20</v>
      </c>
      <c r="G10" s="25" t="s">
        <v>39</v>
      </c>
      <c r="H10" s="25" t="s">
        <v>768</v>
      </c>
      <c r="I10" s="24" t="s">
        <v>23</v>
      </c>
      <c r="J10" s="24"/>
      <c r="K10" s="23" t="str">
        <f>"52,5"</f>
        <v>52,5</v>
      </c>
      <c r="L10" s="25" t="str">
        <f>"39,2752"</f>
        <v>39,2752</v>
      </c>
      <c r="M10" s="23" t="s">
        <v>775</v>
      </c>
    </row>
    <row r="11" spans="1:13" ht="12.75">
      <c r="A11" s="23" t="s">
        <v>777</v>
      </c>
      <c r="B11" s="23" t="s">
        <v>778</v>
      </c>
      <c r="C11" s="23" t="s">
        <v>779</v>
      </c>
      <c r="D11" s="23" t="str">
        <f>"0,7796"</f>
        <v>0,7796</v>
      </c>
      <c r="E11" s="23" t="s">
        <v>19</v>
      </c>
      <c r="F11" s="23" t="s">
        <v>20</v>
      </c>
      <c r="G11" s="25" t="s">
        <v>780</v>
      </c>
      <c r="H11" s="25" t="s">
        <v>39</v>
      </c>
      <c r="I11" s="24" t="s">
        <v>768</v>
      </c>
      <c r="J11" s="24"/>
      <c r="K11" s="23" t="str">
        <f>"47,5"</f>
        <v>47,5</v>
      </c>
      <c r="L11" s="25" t="str">
        <f>"37,0286"</f>
        <v>37,0286</v>
      </c>
      <c r="M11" s="23" t="s">
        <v>29</v>
      </c>
    </row>
    <row r="12" spans="1:13" ht="12.75">
      <c r="A12" s="9" t="s">
        <v>781</v>
      </c>
      <c r="B12" s="9" t="s">
        <v>782</v>
      </c>
      <c r="C12" s="9" t="s">
        <v>783</v>
      </c>
      <c r="D12" s="9" t="str">
        <f>"0,7653"</f>
        <v>0,7653</v>
      </c>
      <c r="E12" s="9" t="s">
        <v>19</v>
      </c>
      <c r="F12" s="9" t="s">
        <v>20</v>
      </c>
      <c r="G12" s="11" t="s">
        <v>780</v>
      </c>
      <c r="H12" s="11" t="s">
        <v>38</v>
      </c>
      <c r="I12" s="11" t="s">
        <v>38</v>
      </c>
      <c r="J12" s="11"/>
      <c r="K12" s="34" t="s">
        <v>922</v>
      </c>
      <c r="L12" s="10" t="str">
        <f>"30,6120"</f>
        <v>30,6120</v>
      </c>
      <c r="M12" s="9" t="s">
        <v>29</v>
      </c>
    </row>
    <row r="14" spans="1:12" ht="15">
      <c r="A14" s="54" t="s">
        <v>118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</row>
    <row r="15" spans="1:13" ht="12.75">
      <c r="A15" s="6" t="s">
        <v>785</v>
      </c>
      <c r="B15" s="6" t="s">
        <v>786</v>
      </c>
      <c r="C15" s="6" t="s">
        <v>534</v>
      </c>
      <c r="D15" s="6" t="str">
        <f>"0,6648"</f>
        <v>0,6648</v>
      </c>
      <c r="E15" s="6" t="s">
        <v>508</v>
      </c>
      <c r="F15" s="6" t="s">
        <v>509</v>
      </c>
      <c r="G15" s="7" t="s">
        <v>780</v>
      </c>
      <c r="H15" s="7" t="s">
        <v>38</v>
      </c>
      <c r="I15" s="7" t="s">
        <v>768</v>
      </c>
      <c r="J15" s="8"/>
      <c r="K15" s="6" t="str">
        <f>"52,5"</f>
        <v>52,5</v>
      </c>
      <c r="L15" s="7" t="str">
        <f>"36,9989"</f>
        <v>36,9989</v>
      </c>
      <c r="M15" s="6" t="s">
        <v>510</v>
      </c>
    </row>
    <row r="16" spans="1:13" ht="12.75">
      <c r="A16" s="23" t="s">
        <v>788</v>
      </c>
      <c r="B16" s="23" t="s">
        <v>789</v>
      </c>
      <c r="C16" s="23" t="s">
        <v>790</v>
      </c>
      <c r="D16" s="23" t="str">
        <f>"0,6906"</f>
        <v>0,6906</v>
      </c>
      <c r="E16" s="23" t="s">
        <v>508</v>
      </c>
      <c r="F16" s="23" t="s">
        <v>509</v>
      </c>
      <c r="G16" s="25" t="s">
        <v>38</v>
      </c>
      <c r="H16" s="24" t="s">
        <v>39</v>
      </c>
      <c r="I16" s="24" t="s">
        <v>768</v>
      </c>
      <c r="J16" s="24"/>
      <c r="K16" s="23" t="str">
        <f>"45,0"</f>
        <v>45,0</v>
      </c>
      <c r="L16" s="25" t="str">
        <f>"32,9416"</f>
        <v>32,9416</v>
      </c>
      <c r="M16" s="23" t="s">
        <v>510</v>
      </c>
    </row>
    <row r="17" spans="1:13" ht="12.75">
      <c r="A17" s="23" t="s">
        <v>792</v>
      </c>
      <c r="B17" s="23" t="s">
        <v>793</v>
      </c>
      <c r="C17" s="23" t="s">
        <v>794</v>
      </c>
      <c r="D17" s="23" t="str">
        <f>"0,6855"</f>
        <v>0,6855</v>
      </c>
      <c r="E17" s="23" t="s">
        <v>508</v>
      </c>
      <c r="F17" s="23" t="s">
        <v>509</v>
      </c>
      <c r="G17" s="25" t="s">
        <v>24</v>
      </c>
      <c r="H17" s="25" t="s">
        <v>117</v>
      </c>
      <c r="I17" s="24" t="s">
        <v>170</v>
      </c>
      <c r="J17" s="24"/>
      <c r="K17" s="23" t="str">
        <f>"62,5"</f>
        <v>62,5</v>
      </c>
      <c r="L17" s="25" t="str">
        <f>"42,8438"</f>
        <v>42,8438</v>
      </c>
      <c r="M17" s="23" t="s">
        <v>510</v>
      </c>
    </row>
    <row r="18" spans="1:13" ht="12.75">
      <c r="A18" s="23" t="s">
        <v>795</v>
      </c>
      <c r="B18" s="23" t="s">
        <v>567</v>
      </c>
      <c r="C18" s="23" t="s">
        <v>568</v>
      </c>
      <c r="D18" s="23" t="str">
        <f>"0,6741"</f>
        <v>0,6741</v>
      </c>
      <c r="E18" s="23" t="s">
        <v>19</v>
      </c>
      <c r="F18" s="23" t="s">
        <v>20</v>
      </c>
      <c r="G18" s="25" t="s">
        <v>768</v>
      </c>
      <c r="H18" s="24" t="s">
        <v>24</v>
      </c>
      <c r="I18" s="25" t="s">
        <v>24</v>
      </c>
      <c r="J18" s="24"/>
      <c r="K18" s="23" t="str">
        <f>"57,5"</f>
        <v>57,5</v>
      </c>
      <c r="L18" s="25" t="str">
        <f>"38,7607"</f>
        <v>38,7607</v>
      </c>
      <c r="M18" s="23" t="s">
        <v>29</v>
      </c>
    </row>
    <row r="19" spans="1:13" ht="12.75">
      <c r="A19" s="23" t="s">
        <v>211</v>
      </c>
      <c r="B19" s="23" t="s">
        <v>212</v>
      </c>
      <c r="C19" s="23" t="s">
        <v>213</v>
      </c>
      <c r="D19" s="23" t="str">
        <f>"0,6730"</f>
        <v>0,6730</v>
      </c>
      <c r="E19" s="23" t="s">
        <v>207</v>
      </c>
      <c r="F19" s="23" t="s">
        <v>20</v>
      </c>
      <c r="G19" s="24" t="s">
        <v>768</v>
      </c>
      <c r="H19" s="25" t="s">
        <v>24</v>
      </c>
      <c r="I19" s="24" t="s">
        <v>170</v>
      </c>
      <c r="J19" s="24"/>
      <c r="K19" s="23" t="str">
        <f>"57,5"</f>
        <v>57,5</v>
      </c>
      <c r="L19" s="25" t="str">
        <f>"38,6975"</f>
        <v>38,6975</v>
      </c>
      <c r="M19" s="23" t="s">
        <v>209</v>
      </c>
    </row>
    <row r="20" spans="1:13" ht="12.75">
      <c r="A20" s="23" t="s">
        <v>797</v>
      </c>
      <c r="B20" s="23" t="s">
        <v>798</v>
      </c>
      <c r="C20" s="23" t="s">
        <v>799</v>
      </c>
      <c r="D20" s="23" t="str">
        <f>"0,7031"</f>
        <v>0,7031</v>
      </c>
      <c r="E20" s="23" t="s">
        <v>19</v>
      </c>
      <c r="F20" s="23" t="s">
        <v>20</v>
      </c>
      <c r="G20" s="24" t="s">
        <v>23</v>
      </c>
      <c r="H20" s="25" t="s">
        <v>23</v>
      </c>
      <c r="I20" s="24" t="s">
        <v>24</v>
      </c>
      <c r="J20" s="24"/>
      <c r="K20" s="23" t="str">
        <f>"55,0"</f>
        <v>55,0</v>
      </c>
      <c r="L20" s="25" t="str">
        <f>"38,6705"</f>
        <v>38,6705</v>
      </c>
      <c r="M20" s="23" t="s">
        <v>29</v>
      </c>
    </row>
    <row r="21" spans="1:13" ht="12.75">
      <c r="A21" s="23" t="s">
        <v>801</v>
      </c>
      <c r="B21" s="23" t="s">
        <v>802</v>
      </c>
      <c r="C21" s="23" t="s">
        <v>803</v>
      </c>
      <c r="D21" s="23" t="str">
        <f>"0,6947"</f>
        <v>0,6947</v>
      </c>
      <c r="E21" s="23" t="s">
        <v>19</v>
      </c>
      <c r="F21" s="23" t="s">
        <v>20</v>
      </c>
      <c r="G21" s="25" t="s">
        <v>38</v>
      </c>
      <c r="H21" s="25" t="s">
        <v>768</v>
      </c>
      <c r="I21" s="24" t="s">
        <v>24</v>
      </c>
      <c r="J21" s="24"/>
      <c r="K21" s="23" t="str">
        <f>"52,5"</f>
        <v>52,5</v>
      </c>
      <c r="L21" s="25" t="str">
        <f>"36,4713"</f>
        <v>36,4713</v>
      </c>
      <c r="M21" s="23" t="s">
        <v>29</v>
      </c>
    </row>
    <row r="22" spans="1:13" ht="12.75">
      <c r="A22" s="9" t="s">
        <v>805</v>
      </c>
      <c r="B22" s="9" t="s">
        <v>765</v>
      </c>
      <c r="C22" s="9" t="s">
        <v>806</v>
      </c>
      <c r="D22" s="9" t="str">
        <f>"0,6943"</f>
        <v>0,6943</v>
      </c>
      <c r="E22" s="9" t="s">
        <v>19</v>
      </c>
      <c r="F22" s="9" t="s">
        <v>767</v>
      </c>
      <c r="G22" s="11" t="s">
        <v>768</v>
      </c>
      <c r="H22" s="10" t="s">
        <v>768</v>
      </c>
      <c r="I22" s="11" t="s">
        <v>24</v>
      </c>
      <c r="J22" s="11"/>
      <c r="K22" s="9" t="str">
        <f>"52,5"</f>
        <v>52,5</v>
      </c>
      <c r="L22" s="10" t="str">
        <f>"36,4493"</f>
        <v>36,4493</v>
      </c>
      <c r="M22" s="9" t="s">
        <v>769</v>
      </c>
    </row>
    <row r="24" spans="1:12" ht="15">
      <c r="A24" s="54" t="s">
        <v>54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</row>
    <row r="25" spans="1:13" ht="12.75">
      <c r="A25" s="6" t="s">
        <v>808</v>
      </c>
      <c r="B25" s="6" t="s">
        <v>809</v>
      </c>
      <c r="C25" s="6" t="s">
        <v>810</v>
      </c>
      <c r="D25" s="6" t="str">
        <f>"0,6341"</f>
        <v>0,6341</v>
      </c>
      <c r="E25" s="6" t="s">
        <v>19</v>
      </c>
      <c r="F25" s="6" t="s">
        <v>20</v>
      </c>
      <c r="G25" s="8" t="s">
        <v>37</v>
      </c>
      <c r="H25" s="7" t="s">
        <v>37</v>
      </c>
      <c r="I25" s="8" t="s">
        <v>39</v>
      </c>
      <c r="J25" s="8"/>
      <c r="K25" s="6" t="str">
        <f>"42,5"</f>
        <v>42,5</v>
      </c>
      <c r="L25" s="7" t="str">
        <f>"27,7577"</f>
        <v>27,7577</v>
      </c>
      <c r="M25" s="6" t="s">
        <v>29</v>
      </c>
    </row>
    <row r="26" spans="1:13" ht="12.75">
      <c r="A26" s="23" t="s">
        <v>812</v>
      </c>
      <c r="B26" s="23" t="s">
        <v>813</v>
      </c>
      <c r="C26" s="23" t="s">
        <v>814</v>
      </c>
      <c r="D26" s="23" t="str">
        <f>"0,6318"</f>
        <v>0,6318</v>
      </c>
      <c r="E26" s="23" t="s">
        <v>19</v>
      </c>
      <c r="F26" s="23" t="s">
        <v>815</v>
      </c>
      <c r="G26" s="25" t="s">
        <v>24</v>
      </c>
      <c r="H26" s="25" t="s">
        <v>117</v>
      </c>
      <c r="I26" s="25" t="s">
        <v>171</v>
      </c>
      <c r="J26" s="24"/>
      <c r="K26" s="23" t="str">
        <f>"67,5"</f>
        <v>67,5</v>
      </c>
      <c r="L26" s="25" t="str">
        <f>"42,6465"</f>
        <v>42,6465</v>
      </c>
      <c r="M26" s="23" t="s">
        <v>29</v>
      </c>
    </row>
    <row r="27" spans="1:13" ht="12.75">
      <c r="A27" s="23" t="s">
        <v>816</v>
      </c>
      <c r="B27" s="23" t="s">
        <v>252</v>
      </c>
      <c r="C27" s="23" t="s">
        <v>253</v>
      </c>
      <c r="D27" s="23" t="str">
        <f>"0,6298"</f>
        <v>0,6298</v>
      </c>
      <c r="E27" s="23" t="s">
        <v>19</v>
      </c>
      <c r="F27" s="23" t="s">
        <v>20</v>
      </c>
      <c r="G27" s="25" t="s">
        <v>23</v>
      </c>
      <c r="H27" s="25" t="s">
        <v>117</v>
      </c>
      <c r="I27" s="25" t="s">
        <v>171</v>
      </c>
      <c r="J27" s="24"/>
      <c r="K27" s="23" t="str">
        <f>"67,5"</f>
        <v>67,5</v>
      </c>
      <c r="L27" s="25" t="str">
        <f>"42,5115"</f>
        <v>42,5115</v>
      </c>
      <c r="M27" s="23" t="s">
        <v>29</v>
      </c>
    </row>
    <row r="28" spans="1:13" ht="12.75">
      <c r="A28" s="9" t="s">
        <v>818</v>
      </c>
      <c r="B28" s="9" t="s">
        <v>819</v>
      </c>
      <c r="C28" s="9" t="s">
        <v>242</v>
      </c>
      <c r="D28" s="9" t="str">
        <f>"0,6219"</f>
        <v>0,6219</v>
      </c>
      <c r="E28" s="9" t="s">
        <v>19</v>
      </c>
      <c r="F28" s="9" t="s">
        <v>20</v>
      </c>
      <c r="G28" s="10" t="s">
        <v>768</v>
      </c>
      <c r="H28" s="10" t="s">
        <v>25</v>
      </c>
      <c r="I28" s="10" t="s">
        <v>117</v>
      </c>
      <c r="J28" s="11"/>
      <c r="K28" s="9" t="str">
        <f>"62,5"</f>
        <v>62,5</v>
      </c>
      <c r="L28" s="10" t="str">
        <f>"38,8688"</f>
        <v>38,8688</v>
      </c>
      <c r="M28" s="9" t="s">
        <v>29</v>
      </c>
    </row>
    <row r="30" spans="1:12" ht="15">
      <c r="A30" s="54" t="s">
        <v>132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</row>
    <row r="31" spans="1:13" ht="12.75">
      <c r="A31" s="6" t="s">
        <v>821</v>
      </c>
      <c r="B31" s="6" t="s">
        <v>822</v>
      </c>
      <c r="C31" s="6" t="s">
        <v>823</v>
      </c>
      <c r="D31" s="6" t="str">
        <f>"0,6093"</f>
        <v>0,6093</v>
      </c>
      <c r="E31" s="6" t="s">
        <v>19</v>
      </c>
      <c r="F31" s="6" t="s">
        <v>767</v>
      </c>
      <c r="G31" s="7" t="s">
        <v>117</v>
      </c>
      <c r="H31" s="7" t="s">
        <v>171</v>
      </c>
      <c r="I31" s="8" t="s">
        <v>104</v>
      </c>
      <c r="J31" s="8"/>
      <c r="K31" s="6" t="str">
        <f>"67,5"</f>
        <v>67,5</v>
      </c>
      <c r="L31" s="7" t="str">
        <f>"41,1278"</f>
        <v>41,1278</v>
      </c>
      <c r="M31" s="6" t="s">
        <v>769</v>
      </c>
    </row>
    <row r="32" spans="1:13" ht="12.75">
      <c r="A32" s="23" t="s">
        <v>825</v>
      </c>
      <c r="B32" s="23" t="s">
        <v>826</v>
      </c>
      <c r="C32" s="23" t="s">
        <v>707</v>
      </c>
      <c r="D32" s="23" t="str">
        <f>"0,5903"</f>
        <v>0,5903</v>
      </c>
      <c r="E32" s="23" t="s">
        <v>207</v>
      </c>
      <c r="F32" s="23" t="s">
        <v>20</v>
      </c>
      <c r="G32" s="25" t="s">
        <v>117</v>
      </c>
      <c r="H32" s="24" t="s">
        <v>171</v>
      </c>
      <c r="I32" s="24" t="s">
        <v>171</v>
      </c>
      <c r="J32" s="24"/>
      <c r="K32" s="23" t="str">
        <f>"62,5"</f>
        <v>62,5</v>
      </c>
      <c r="L32" s="25" t="str">
        <f>"36,8938"</f>
        <v>36,8938</v>
      </c>
      <c r="M32" s="23" t="s">
        <v>209</v>
      </c>
    </row>
    <row r="33" spans="1:13" ht="12.75">
      <c r="A33" s="9" t="s">
        <v>828</v>
      </c>
      <c r="B33" s="9" t="s">
        <v>829</v>
      </c>
      <c r="C33" s="9" t="s">
        <v>830</v>
      </c>
      <c r="D33" s="9" t="str">
        <f>"0,5885"</f>
        <v>0,5885</v>
      </c>
      <c r="E33" s="9" t="s">
        <v>508</v>
      </c>
      <c r="F33" s="9" t="s">
        <v>509</v>
      </c>
      <c r="G33" s="10" t="s">
        <v>768</v>
      </c>
      <c r="H33" s="10" t="s">
        <v>24</v>
      </c>
      <c r="I33" s="11" t="s">
        <v>117</v>
      </c>
      <c r="J33" s="11"/>
      <c r="K33" s="9" t="str">
        <f>"57,5"</f>
        <v>57,5</v>
      </c>
      <c r="L33" s="10" t="str">
        <f>"33,8388"</f>
        <v>33,8388</v>
      </c>
      <c r="M33" s="9" t="s">
        <v>510</v>
      </c>
    </row>
    <row r="35" spans="1:12" ht="15">
      <c r="A35" s="54" t="s">
        <v>137</v>
      </c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</row>
    <row r="36" spans="1:13" ht="12.75">
      <c r="A36" s="6" t="s">
        <v>696</v>
      </c>
      <c r="B36" s="6" t="s">
        <v>697</v>
      </c>
      <c r="C36" s="6" t="s">
        <v>698</v>
      </c>
      <c r="D36" s="6" t="str">
        <f>"0,5633"</f>
        <v>0,5633</v>
      </c>
      <c r="E36" s="6" t="s">
        <v>19</v>
      </c>
      <c r="F36" s="6" t="s">
        <v>259</v>
      </c>
      <c r="G36" s="8" t="s">
        <v>171</v>
      </c>
      <c r="H36" s="7" t="s">
        <v>104</v>
      </c>
      <c r="I36" s="8" t="s">
        <v>36</v>
      </c>
      <c r="J36" s="8"/>
      <c r="K36" s="6" t="str">
        <f>"70,0"</f>
        <v>70,0</v>
      </c>
      <c r="L36" s="7" t="str">
        <f>"39,4310"</f>
        <v>39,4310</v>
      </c>
      <c r="M36" s="6" t="s">
        <v>29</v>
      </c>
    </row>
    <row r="37" spans="1:13" ht="12.75">
      <c r="A37" s="23" t="s">
        <v>832</v>
      </c>
      <c r="B37" s="23" t="s">
        <v>833</v>
      </c>
      <c r="C37" s="23" t="s">
        <v>834</v>
      </c>
      <c r="D37" s="23" t="str">
        <f>"0,5636"</f>
        <v>0,5636</v>
      </c>
      <c r="E37" s="23" t="s">
        <v>19</v>
      </c>
      <c r="F37" s="23" t="s">
        <v>20</v>
      </c>
      <c r="G37" s="25" t="s">
        <v>177</v>
      </c>
      <c r="H37" s="24" t="s">
        <v>25</v>
      </c>
      <c r="I37" s="25" t="s">
        <v>25</v>
      </c>
      <c r="J37" s="24"/>
      <c r="K37" s="23" t="str">
        <f>"60,0"</f>
        <v>60,0</v>
      </c>
      <c r="L37" s="25" t="str">
        <f>"33,8160"</f>
        <v>33,8160</v>
      </c>
      <c r="M37" s="23" t="s">
        <v>29</v>
      </c>
    </row>
    <row r="38" spans="1:13" ht="12.75">
      <c r="A38" s="9" t="s">
        <v>139</v>
      </c>
      <c r="B38" s="9" t="s">
        <v>140</v>
      </c>
      <c r="C38" s="9" t="s">
        <v>141</v>
      </c>
      <c r="D38" s="9" t="str">
        <f>"0,5551"</f>
        <v>0,5551</v>
      </c>
      <c r="E38" s="9" t="s">
        <v>19</v>
      </c>
      <c r="F38" s="9" t="s">
        <v>20</v>
      </c>
      <c r="G38" s="11" t="s">
        <v>25</v>
      </c>
      <c r="H38" s="10" t="s">
        <v>25</v>
      </c>
      <c r="I38" s="11" t="s">
        <v>171</v>
      </c>
      <c r="J38" s="11"/>
      <c r="K38" s="9" t="str">
        <f>"60,0"</f>
        <v>60,0</v>
      </c>
      <c r="L38" s="10" t="str">
        <f>"45,9664"</f>
        <v>45,9664</v>
      </c>
      <c r="M38" s="9" t="s">
        <v>29</v>
      </c>
    </row>
    <row r="40" spans="1:12" ht="15">
      <c r="A40" s="54" t="s">
        <v>142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</row>
    <row r="41" spans="1:13" ht="12.75">
      <c r="A41" s="12" t="s">
        <v>144</v>
      </c>
      <c r="B41" s="12" t="s">
        <v>145</v>
      </c>
      <c r="C41" s="12" t="s">
        <v>146</v>
      </c>
      <c r="D41" s="12" t="str">
        <f>"0,5290"</f>
        <v>0,5290</v>
      </c>
      <c r="E41" s="12" t="s">
        <v>19</v>
      </c>
      <c r="F41" s="12" t="s">
        <v>20</v>
      </c>
      <c r="G41" s="13" t="s">
        <v>40</v>
      </c>
      <c r="H41" s="14" t="s">
        <v>835</v>
      </c>
      <c r="I41" s="14" t="s">
        <v>835</v>
      </c>
      <c r="J41" s="14"/>
      <c r="K41" s="12" t="str">
        <f>"80,0"</f>
        <v>80,0</v>
      </c>
      <c r="L41" s="13" t="str">
        <f>"42,3240"</f>
        <v>42,3240</v>
      </c>
      <c r="M41" s="12" t="s">
        <v>29</v>
      </c>
    </row>
    <row r="43" spans="5:6" ht="15">
      <c r="E43" s="15" t="s">
        <v>70</v>
      </c>
      <c r="F43" s="49" t="s">
        <v>950</v>
      </c>
    </row>
    <row r="44" spans="5:6" ht="15">
      <c r="E44" s="15" t="s">
        <v>71</v>
      </c>
      <c r="F44" s="49" t="s">
        <v>949</v>
      </c>
    </row>
    <row r="45" spans="5:6" ht="15">
      <c r="E45" s="15" t="s">
        <v>72</v>
      </c>
      <c r="F45" s="49" t="s">
        <v>950</v>
      </c>
    </row>
    <row r="46" spans="5:6" ht="15">
      <c r="E46" s="15" t="s">
        <v>73</v>
      </c>
      <c r="F46" s="49" t="s">
        <v>951</v>
      </c>
    </row>
    <row r="47" spans="5:6" ht="15">
      <c r="E47" s="15" t="s">
        <v>73</v>
      </c>
      <c r="F47" s="49" t="s">
        <v>952</v>
      </c>
    </row>
    <row r="48" spans="5:6" ht="15">
      <c r="E48" s="15" t="s">
        <v>74</v>
      </c>
      <c r="F48" s="49" t="s">
        <v>953</v>
      </c>
    </row>
    <row r="49" ht="15">
      <c r="E49" s="15"/>
    </row>
    <row r="51" spans="1:2" ht="18">
      <c r="A51" s="16" t="s">
        <v>75</v>
      </c>
      <c r="B51" s="16"/>
    </row>
    <row r="52" spans="1:2" ht="15">
      <c r="A52" s="17" t="s">
        <v>91</v>
      </c>
      <c r="B52" s="17"/>
    </row>
    <row r="53" spans="1:2" ht="14.25">
      <c r="A53" s="19"/>
      <c r="B53" s="20" t="s">
        <v>349</v>
      </c>
    </row>
    <row r="54" spans="1:5" ht="15">
      <c r="A54" s="21" t="s">
        <v>78</v>
      </c>
      <c r="B54" s="21" t="s">
        <v>79</v>
      </c>
      <c r="C54" s="21" t="s">
        <v>80</v>
      </c>
      <c r="D54" s="21" t="s">
        <v>81</v>
      </c>
      <c r="E54" s="21" t="s">
        <v>82</v>
      </c>
    </row>
    <row r="55" spans="1:5" ht="12.75">
      <c r="A55" s="18" t="s">
        <v>784</v>
      </c>
      <c r="B55" s="4" t="s">
        <v>350</v>
      </c>
      <c r="C55" s="4" t="s">
        <v>156</v>
      </c>
      <c r="D55" s="4" t="s">
        <v>768</v>
      </c>
      <c r="E55" s="22" t="s">
        <v>836</v>
      </c>
    </row>
    <row r="56" spans="1:5" ht="12.75">
      <c r="A56" s="18" t="s">
        <v>787</v>
      </c>
      <c r="B56" s="4" t="s">
        <v>350</v>
      </c>
      <c r="C56" s="4" t="s">
        <v>156</v>
      </c>
      <c r="D56" s="4" t="s">
        <v>38</v>
      </c>
      <c r="E56" s="22" t="s">
        <v>837</v>
      </c>
    </row>
    <row r="57" spans="1:5" ht="12.75">
      <c r="A57" s="18" t="s">
        <v>113</v>
      </c>
      <c r="B57" s="4" t="s">
        <v>350</v>
      </c>
      <c r="C57" s="4" t="s">
        <v>632</v>
      </c>
      <c r="D57" s="4" t="s">
        <v>762</v>
      </c>
      <c r="E57" s="22" t="s">
        <v>838</v>
      </c>
    </row>
    <row r="59" spans="1:2" ht="14.25">
      <c r="A59" s="19"/>
      <c r="B59" s="20" t="s">
        <v>355</v>
      </c>
    </row>
    <row r="60" spans="1:5" ht="15">
      <c r="A60" s="21" t="s">
        <v>78</v>
      </c>
      <c r="B60" s="21" t="s">
        <v>79</v>
      </c>
      <c r="C60" s="21" t="s">
        <v>80</v>
      </c>
      <c r="D60" s="21" t="s">
        <v>81</v>
      </c>
      <c r="E60" s="21" t="s">
        <v>82</v>
      </c>
    </row>
    <row r="61" spans="1:5" ht="12.75">
      <c r="A61" s="18" t="s">
        <v>807</v>
      </c>
      <c r="B61" s="4" t="s">
        <v>356</v>
      </c>
      <c r="C61" s="4" t="s">
        <v>92</v>
      </c>
      <c r="D61" s="4" t="s">
        <v>37</v>
      </c>
      <c r="E61" s="22" t="s">
        <v>839</v>
      </c>
    </row>
    <row r="63" spans="1:2" ht="14.25">
      <c r="A63" s="19"/>
      <c r="B63" s="20" t="s">
        <v>77</v>
      </c>
    </row>
    <row r="64" spans="1:5" ht="15">
      <c r="A64" s="21" t="s">
        <v>78</v>
      </c>
      <c r="B64" s="21" t="s">
        <v>79</v>
      </c>
      <c r="C64" s="21" t="s">
        <v>80</v>
      </c>
      <c r="D64" s="21" t="s">
        <v>81</v>
      </c>
      <c r="E64" s="21" t="s">
        <v>82</v>
      </c>
    </row>
    <row r="65" spans="1:5" ht="12.75">
      <c r="A65" s="18" t="s">
        <v>763</v>
      </c>
      <c r="B65" s="4" t="s">
        <v>77</v>
      </c>
      <c r="C65" s="4" t="s">
        <v>108</v>
      </c>
      <c r="D65" s="4" t="s">
        <v>24</v>
      </c>
      <c r="E65" s="22" t="s">
        <v>840</v>
      </c>
    </row>
    <row r="66" spans="1:5" ht="12.75">
      <c r="A66" s="18" t="s">
        <v>791</v>
      </c>
      <c r="B66" s="4" t="s">
        <v>77</v>
      </c>
      <c r="C66" s="4" t="s">
        <v>156</v>
      </c>
      <c r="D66" s="4" t="s">
        <v>117</v>
      </c>
      <c r="E66" s="22" t="s">
        <v>841</v>
      </c>
    </row>
    <row r="67" spans="1:5" ht="12.75">
      <c r="A67" s="18" t="s">
        <v>811</v>
      </c>
      <c r="B67" s="4" t="s">
        <v>77</v>
      </c>
      <c r="C67" s="4" t="s">
        <v>92</v>
      </c>
      <c r="D67" s="4" t="s">
        <v>171</v>
      </c>
      <c r="E67" s="22" t="s">
        <v>842</v>
      </c>
    </row>
    <row r="68" spans="1:5" ht="12.75">
      <c r="A68" s="18" t="s">
        <v>250</v>
      </c>
      <c r="B68" s="4" t="s">
        <v>77</v>
      </c>
      <c r="C68" s="4" t="s">
        <v>92</v>
      </c>
      <c r="D68" s="4" t="s">
        <v>171</v>
      </c>
      <c r="E68" s="22" t="s">
        <v>843</v>
      </c>
    </row>
    <row r="69" spans="1:5" ht="12.75">
      <c r="A69" s="18" t="s">
        <v>143</v>
      </c>
      <c r="B69" s="4" t="s">
        <v>77</v>
      </c>
      <c r="C69" s="4" t="s">
        <v>152</v>
      </c>
      <c r="D69" s="4" t="s">
        <v>40</v>
      </c>
      <c r="E69" s="22" t="s">
        <v>844</v>
      </c>
    </row>
    <row r="70" spans="1:5" ht="12.75">
      <c r="A70" s="18" t="s">
        <v>820</v>
      </c>
      <c r="B70" s="4" t="s">
        <v>77</v>
      </c>
      <c r="C70" s="4" t="s">
        <v>162</v>
      </c>
      <c r="D70" s="4" t="s">
        <v>171</v>
      </c>
      <c r="E70" s="22" t="s">
        <v>845</v>
      </c>
    </row>
    <row r="71" spans="1:5" ht="12.75">
      <c r="A71" s="18" t="s">
        <v>695</v>
      </c>
      <c r="B71" s="4" t="s">
        <v>77</v>
      </c>
      <c r="C71" s="4" t="s">
        <v>159</v>
      </c>
      <c r="D71" s="4" t="s">
        <v>104</v>
      </c>
      <c r="E71" s="22" t="s">
        <v>846</v>
      </c>
    </row>
    <row r="72" spans="1:5" ht="12.75">
      <c r="A72" s="18" t="s">
        <v>770</v>
      </c>
      <c r="B72" s="4" t="s">
        <v>77</v>
      </c>
      <c r="C72" s="4" t="s">
        <v>108</v>
      </c>
      <c r="D72" s="4" t="s">
        <v>768</v>
      </c>
      <c r="E72" s="22" t="s">
        <v>847</v>
      </c>
    </row>
    <row r="73" spans="1:5" ht="12.75">
      <c r="A73" s="18" t="s">
        <v>817</v>
      </c>
      <c r="B73" s="4" t="s">
        <v>77</v>
      </c>
      <c r="C73" s="4" t="s">
        <v>92</v>
      </c>
      <c r="D73" s="4" t="s">
        <v>117</v>
      </c>
      <c r="E73" s="22" t="s">
        <v>848</v>
      </c>
    </row>
    <row r="74" spans="1:5" ht="12.75">
      <c r="A74" s="18" t="s">
        <v>565</v>
      </c>
      <c r="B74" s="4" t="s">
        <v>77</v>
      </c>
      <c r="C74" s="4" t="s">
        <v>156</v>
      </c>
      <c r="D74" s="4" t="s">
        <v>24</v>
      </c>
      <c r="E74" s="22" t="s">
        <v>849</v>
      </c>
    </row>
    <row r="75" spans="1:5" ht="12.75">
      <c r="A75" s="18" t="s">
        <v>210</v>
      </c>
      <c r="B75" s="4" t="s">
        <v>77</v>
      </c>
      <c r="C75" s="4" t="s">
        <v>156</v>
      </c>
      <c r="D75" s="4" t="s">
        <v>24</v>
      </c>
      <c r="E75" s="22" t="s">
        <v>850</v>
      </c>
    </row>
    <row r="76" spans="1:5" ht="12.75">
      <c r="A76" s="18" t="s">
        <v>796</v>
      </c>
      <c r="B76" s="4" t="s">
        <v>77</v>
      </c>
      <c r="C76" s="4" t="s">
        <v>156</v>
      </c>
      <c r="D76" s="4" t="s">
        <v>23</v>
      </c>
      <c r="E76" s="22" t="s">
        <v>851</v>
      </c>
    </row>
    <row r="77" spans="1:5" ht="12.75">
      <c r="A77" s="18" t="s">
        <v>776</v>
      </c>
      <c r="B77" s="4" t="s">
        <v>77</v>
      </c>
      <c r="C77" s="4" t="s">
        <v>108</v>
      </c>
      <c r="D77" s="4" t="s">
        <v>39</v>
      </c>
      <c r="E77" s="22" t="s">
        <v>852</v>
      </c>
    </row>
    <row r="78" spans="1:5" ht="12.75">
      <c r="A78" s="18" t="s">
        <v>824</v>
      </c>
      <c r="B78" s="4" t="s">
        <v>77</v>
      </c>
      <c r="C78" s="4" t="s">
        <v>162</v>
      </c>
      <c r="D78" s="4" t="s">
        <v>117</v>
      </c>
      <c r="E78" s="22" t="s">
        <v>853</v>
      </c>
    </row>
    <row r="79" spans="1:5" ht="12.75">
      <c r="A79" s="18" t="s">
        <v>800</v>
      </c>
      <c r="B79" s="4" t="s">
        <v>77</v>
      </c>
      <c r="C79" s="4" t="s">
        <v>156</v>
      </c>
      <c r="D79" s="4" t="s">
        <v>768</v>
      </c>
      <c r="E79" s="22" t="s">
        <v>854</v>
      </c>
    </row>
    <row r="80" spans="1:5" ht="12.75">
      <c r="A80" s="18" t="s">
        <v>804</v>
      </c>
      <c r="B80" s="4" t="s">
        <v>77</v>
      </c>
      <c r="C80" s="4" t="s">
        <v>156</v>
      </c>
      <c r="D80" s="4" t="s">
        <v>768</v>
      </c>
      <c r="E80" s="22" t="s">
        <v>855</v>
      </c>
    </row>
    <row r="81" spans="1:5" ht="12.75">
      <c r="A81" s="18" t="s">
        <v>827</v>
      </c>
      <c r="B81" s="4" t="s">
        <v>77</v>
      </c>
      <c r="C81" s="4" t="s">
        <v>162</v>
      </c>
      <c r="D81" s="4" t="s">
        <v>24</v>
      </c>
      <c r="E81" s="22" t="s">
        <v>856</v>
      </c>
    </row>
    <row r="82" spans="1:5" ht="12.75">
      <c r="A82" s="18" t="s">
        <v>831</v>
      </c>
      <c r="B82" s="4" t="s">
        <v>77</v>
      </c>
      <c r="C82" s="4" t="s">
        <v>159</v>
      </c>
      <c r="D82" s="4" t="s">
        <v>25</v>
      </c>
      <c r="E82" s="22" t="s">
        <v>857</v>
      </c>
    </row>
    <row r="84" spans="1:2" ht="14.25">
      <c r="A84" s="19"/>
      <c r="B84" s="20" t="s">
        <v>106</v>
      </c>
    </row>
    <row r="85" spans="1:5" ht="15">
      <c r="A85" s="21" t="s">
        <v>78</v>
      </c>
      <c r="B85" s="21" t="s">
        <v>79</v>
      </c>
      <c r="C85" s="21" t="s">
        <v>80</v>
      </c>
      <c r="D85" s="21" t="s">
        <v>81</v>
      </c>
      <c r="E85" s="21" t="s">
        <v>82</v>
      </c>
    </row>
    <row r="86" spans="1:5" ht="12.75">
      <c r="A86" s="18" t="s">
        <v>138</v>
      </c>
      <c r="B86" s="4" t="s">
        <v>155</v>
      </c>
      <c r="C86" s="4" t="s">
        <v>159</v>
      </c>
      <c r="D86" s="4" t="s">
        <v>25</v>
      </c>
      <c r="E86" s="22" t="s">
        <v>858</v>
      </c>
    </row>
  </sheetData>
  <sheetProtection/>
  <mergeCells count="18">
    <mergeCell ref="A24:L24"/>
    <mergeCell ref="A30:L30"/>
    <mergeCell ref="A35:L35"/>
    <mergeCell ref="A40:L40"/>
    <mergeCell ref="K3:K4"/>
    <mergeCell ref="L3:L4"/>
    <mergeCell ref="M3:M4"/>
    <mergeCell ref="A5:L5"/>
    <mergeCell ref="A8:L8"/>
    <mergeCell ref="A14:L14"/>
    <mergeCell ref="A1:M2"/>
    <mergeCell ref="A3:A4"/>
    <mergeCell ref="B3:B4"/>
    <mergeCell ref="C3:C4"/>
    <mergeCell ref="D3:D4"/>
    <mergeCell ref="E3:E4"/>
    <mergeCell ref="F3:F4"/>
    <mergeCell ref="G3:J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zoomScale="85" zoomScaleNormal="85" zoomScalePageLayoutView="0" workbookViewId="0" topLeftCell="A1">
      <selection activeCell="A1" sqref="A1:K2"/>
    </sheetView>
  </sheetViews>
  <sheetFormatPr defaultColWidth="9.00390625" defaultRowHeight="12.75"/>
  <cols>
    <col min="1" max="1" width="26.00390625" style="4" bestFit="1" customWidth="1"/>
    <col min="2" max="2" width="28.875" style="4" bestFit="1" customWidth="1"/>
    <col min="3" max="3" width="10.125" style="4" bestFit="1" customWidth="1"/>
    <col min="4" max="4" width="10.625" style="4" bestFit="1" customWidth="1"/>
    <col min="5" max="5" width="24.00390625" style="4" bestFit="1" customWidth="1"/>
    <col min="6" max="6" width="33.375" style="4" bestFit="1" customWidth="1"/>
    <col min="7" max="7" width="7.25390625" style="3" customWidth="1"/>
    <col min="8" max="8" width="7.25390625" style="27" customWidth="1"/>
    <col min="9" max="9" width="8.875" style="4" bestFit="1" customWidth="1"/>
    <col min="10" max="10" width="9.00390625" style="3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6" t="s">
        <v>948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66" t="s">
        <v>693</v>
      </c>
      <c r="E3" s="66" t="s">
        <v>4</v>
      </c>
      <c r="F3" s="66" t="s">
        <v>8</v>
      </c>
      <c r="G3" s="66" t="s">
        <v>947</v>
      </c>
      <c r="H3" s="66"/>
      <c r="I3" s="66" t="s">
        <v>691</v>
      </c>
      <c r="J3" s="66" t="s">
        <v>3</v>
      </c>
      <c r="K3" s="67" t="s">
        <v>2</v>
      </c>
    </row>
    <row r="4" spans="1:11" s="1" customFormat="1" ht="21" customHeight="1" thickBot="1">
      <c r="A4" s="63"/>
      <c r="B4" s="65"/>
      <c r="C4" s="65"/>
      <c r="D4" s="65"/>
      <c r="E4" s="65"/>
      <c r="F4" s="65"/>
      <c r="G4" s="38" t="s">
        <v>689</v>
      </c>
      <c r="H4" s="26" t="s">
        <v>690</v>
      </c>
      <c r="I4" s="65"/>
      <c r="J4" s="65"/>
      <c r="K4" s="68"/>
    </row>
    <row r="5" spans="1:10" ht="15">
      <c r="A5" s="52" t="s">
        <v>132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9.5" customHeight="1">
      <c r="A6" s="23" t="s">
        <v>861</v>
      </c>
      <c r="B6" s="23" t="s">
        <v>862</v>
      </c>
      <c r="C6" s="23">
        <v>80.25</v>
      </c>
      <c r="D6" s="46">
        <v>0.6318</v>
      </c>
      <c r="E6" s="23" t="s">
        <v>508</v>
      </c>
      <c r="F6" s="23" t="s">
        <v>509</v>
      </c>
      <c r="G6" s="29" t="s">
        <v>159</v>
      </c>
      <c r="H6" s="47">
        <v>44</v>
      </c>
      <c r="I6" s="29">
        <f>H6*G6</f>
        <v>4400</v>
      </c>
      <c r="J6" s="44">
        <f>I6*D6</f>
        <v>2779.92</v>
      </c>
      <c r="K6" s="23" t="s">
        <v>510</v>
      </c>
    </row>
    <row r="8" spans="5:10" s="4" customFormat="1" ht="15">
      <c r="E8" s="15" t="s">
        <v>70</v>
      </c>
      <c r="F8" s="49" t="s">
        <v>950</v>
      </c>
      <c r="G8" s="3"/>
      <c r="H8" s="27"/>
      <c r="J8" s="3"/>
    </row>
    <row r="9" spans="5:10" s="4" customFormat="1" ht="15">
      <c r="E9" s="15" t="s">
        <v>71</v>
      </c>
      <c r="F9" s="49" t="s">
        <v>949</v>
      </c>
      <c r="G9" s="3"/>
      <c r="H9" s="27"/>
      <c r="J9" s="3"/>
    </row>
    <row r="10" spans="5:10" s="4" customFormat="1" ht="15">
      <c r="E10" s="15" t="s">
        <v>72</v>
      </c>
      <c r="F10" s="49" t="s">
        <v>950</v>
      </c>
      <c r="G10" s="3"/>
      <c r="H10" s="27"/>
      <c r="J10" s="3"/>
    </row>
    <row r="11" spans="5:10" s="4" customFormat="1" ht="15">
      <c r="E11" s="15" t="s">
        <v>73</v>
      </c>
      <c r="F11" s="49" t="s">
        <v>951</v>
      </c>
      <c r="G11" s="3"/>
      <c r="H11" s="27"/>
      <c r="J11" s="3"/>
    </row>
    <row r="12" spans="5:10" s="4" customFormat="1" ht="15">
      <c r="E12" s="15" t="s">
        <v>73</v>
      </c>
      <c r="F12" s="49" t="s">
        <v>952</v>
      </c>
      <c r="G12" s="3"/>
      <c r="H12" s="27"/>
      <c r="J12" s="3"/>
    </row>
    <row r="13" spans="5:10" s="4" customFormat="1" ht="15">
      <c r="E13" s="15" t="s">
        <v>74</v>
      </c>
      <c r="F13" s="49" t="s">
        <v>953</v>
      </c>
      <c r="G13" s="3"/>
      <c r="H13" s="27"/>
      <c r="J13" s="3"/>
    </row>
    <row r="14" spans="5:10" s="4" customFormat="1" ht="15">
      <c r="E14" s="15"/>
      <c r="G14" s="3"/>
      <c r="H14" s="27"/>
      <c r="J14" s="3"/>
    </row>
  </sheetData>
  <sheetProtection/>
  <mergeCells count="12"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5"/>
  <sheetViews>
    <sheetView zoomScale="85" zoomScaleNormal="85" zoomScalePageLayoutView="0" workbookViewId="0" topLeftCell="A1">
      <selection activeCell="F26" sqref="F26:F31"/>
    </sheetView>
  </sheetViews>
  <sheetFormatPr defaultColWidth="9.00390625" defaultRowHeight="12.75"/>
  <cols>
    <col min="1" max="1" width="26.00390625" style="4" bestFit="1" customWidth="1"/>
    <col min="2" max="2" width="28.87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33.375" style="4" bestFit="1" customWidth="1"/>
    <col min="7" max="7" width="7.25390625" style="3" customWidth="1"/>
    <col min="8" max="8" width="7.25390625" style="27" customWidth="1"/>
    <col min="9" max="9" width="8.875" style="4" bestFit="1" customWidth="1"/>
    <col min="10" max="10" width="9.00390625" style="3" customWidth="1"/>
    <col min="11" max="11" width="15.75390625" style="4" bestFit="1" customWidth="1"/>
    <col min="12" max="16384" width="9.125" style="3" customWidth="1"/>
  </cols>
  <sheetData>
    <row r="1" spans="1:11" s="2" customFormat="1" ht="28.5" customHeight="1">
      <c r="A1" s="56" t="s">
        <v>954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50.2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66" t="s">
        <v>693</v>
      </c>
      <c r="E3" s="66" t="s">
        <v>4</v>
      </c>
      <c r="F3" s="66" t="s">
        <v>8</v>
      </c>
      <c r="G3" s="66" t="s">
        <v>947</v>
      </c>
      <c r="H3" s="66"/>
      <c r="I3" s="66" t="s">
        <v>691</v>
      </c>
      <c r="J3" s="66" t="s">
        <v>3</v>
      </c>
      <c r="K3" s="67" t="s">
        <v>2</v>
      </c>
    </row>
    <row r="4" spans="1:11" s="1" customFormat="1" ht="21" customHeight="1" thickBot="1">
      <c r="A4" s="63"/>
      <c r="B4" s="65"/>
      <c r="C4" s="65"/>
      <c r="D4" s="65"/>
      <c r="E4" s="65"/>
      <c r="F4" s="65"/>
      <c r="G4" s="33" t="s">
        <v>689</v>
      </c>
      <c r="H4" s="26" t="s">
        <v>690</v>
      </c>
      <c r="I4" s="65"/>
      <c r="J4" s="65"/>
      <c r="K4" s="68"/>
    </row>
    <row r="5" spans="1:10" ht="15">
      <c r="A5" s="52" t="s">
        <v>955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5">
      <c r="A6" s="23" t="s">
        <v>924</v>
      </c>
      <c r="B6" s="23" t="s">
        <v>935</v>
      </c>
      <c r="C6" s="23">
        <v>66.7</v>
      </c>
      <c r="D6" s="43">
        <v>0.7239</v>
      </c>
      <c r="E6" s="36" t="s">
        <v>932</v>
      </c>
      <c r="F6" s="23" t="s">
        <v>20</v>
      </c>
      <c r="G6" s="42" t="s">
        <v>159</v>
      </c>
      <c r="H6" s="45">
        <v>40</v>
      </c>
      <c r="I6" s="29">
        <v>4000</v>
      </c>
      <c r="J6" s="44">
        <v>2895.6</v>
      </c>
      <c r="K6" s="36" t="s">
        <v>942</v>
      </c>
    </row>
    <row r="7" spans="1:11" ht="15">
      <c r="A7" s="23" t="s">
        <v>925</v>
      </c>
      <c r="B7" s="23" t="s">
        <v>934</v>
      </c>
      <c r="C7" s="23">
        <v>66</v>
      </c>
      <c r="D7" s="51">
        <v>0.7429</v>
      </c>
      <c r="E7" s="36" t="s">
        <v>932</v>
      </c>
      <c r="F7" s="23" t="s">
        <v>20</v>
      </c>
      <c r="G7" s="42" t="s">
        <v>159</v>
      </c>
      <c r="H7" s="45">
        <v>33</v>
      </c>
      <c r="I7" s="29">
        <v>3300</v>
      </c>
      <c r="J7" s="44">
        <v>2451.57</v>
      </c>
      <c r="K7" s="36" t="s">
        <v>943</v>
      </c>
    </row>
    <row r="8" spans="1:10" ht="15">
      <c r="A8" s="39"/>
      <c r="B8" s="50"/>
      <c r="C8" s="50"/>
      <c r="D8" s="50"/>
      <c r="E8" s="50"/>
      <c r="F8" s="50"/>
      <c r="G8" s="50"/>
      <c r="H8" s="50"/>
      <c r="I8" s="50"/>
      <c r="J8" s="50"/>
    </row>
    <row r="9" spans="1:10" ht="15">
      <c r="A9" s="54" t="s">
        <v>956</v>
      </c>
      <c r="B9" s="69"/>
      <c r="C9" s="69"/>
      <c r="D9" s="69"/>
      <c r="E9" s="69"/>
      <c r="F9" s="69"/>
      <c r="G9" s="69"/>
      <c r="H9" s="69"/>
      <c r="I9" s="69"/>
      <c r="J9" s="69"/>
    </row>
    <row r="10" spans="1:11" ht="15">
      <c r="A10" s="23" t="s">
        <v>792</v>
      </c>
      <c r="B10" s="23" t="s">
        <v>793</v>
      </c>
      <c r="C10" s="23" t="s">
        <v>794</v>
      </c>
      <c r="D10" s="43">
        <v>0.6855</v>
      </c>
      <c r="E10" s="36" t="s">
        <v>508</v>
      </c>
      <c r="F10" s="23" t="s">
        <v>509</v>
      </c>
      <c r="G10" s="42" t="s">
        <v>159</v>
      </c>
      <c r="H10" s="45">
        <v>55</v>
      </c>
      <c r="I10" s="29">
        <v>5500</v>
      </c>
      <c r="J10" s="44">
        <v>3770.25</v>
      </c>
      <c r="K10" s="36" t="s">
        <v>510</v>
      </c>
    </row>
    <row r="11" spans="1:11" ht="15">
      <c r="A11" s="23" t="s">
        <v>926</v>
      </c>
      <c r="B11" s="23" t="s">
        <v>936</v>
      </c>
      <c r="C11" s="23">
        <v>70.15</v>
      </c>
      <c r="D11" s="43">
        <v>0.7004</v>
      </c>
      <c r="E11" s="36" t="s">
        <v>508</v>
      </c>
      <c r="F11" s="23" t="s">
        <v>509</v>
      </c>
      <c r="G11" s="42" t="s">
        <v>159</v>
      </c>
      <c r="H11" s="45">
        <v>35</v>
      </c>
      <c r="I11" s="29">
        <v>3500</v>
      </c>
      <c r="J11" s="44">
        <v>2451.4</v>
      </c>
      <c r="K11" s="36" t="s">
        <v>510</v>
      </c>
    </row>
    <row r="12" spans="1:11" ht="15">
      <c r="A12" s="23" t="s">
        <v>927</v>
      </c>
      <c r="B12" s="23" t="s">
        <v>571</v>
      </c>
      <c r="C12" s="23" t="s">
        <v>572</v>
      </c>
      <c r="D12" s="43">
        <v>0.6839</v>
      </c>
      <c r="E12" s="36" t="s">
        <v>573</v>
      </c>
      <c r="F12" s="23" t="s">
        <v>20</v>
      </c>
      <c r="G12" s="42" t="s">
        <v>159</v>
      </c>
      <c r="H12" s="45">
        <v>26</v>
      </c>
      <c r="I12" s="29">
        <v>2600</v>
      </c>
      <c r="J12" s="44">
        <v>1778.1399999999999</v>
      </c>
      <c r="K12" s="36" t="s">
        <v>29</v>
      </c>
    </row>
    <row r="13" spans="1:10" ht="15">
      <c r="A13" s="39"/>
      <c r="B13" s="50"/>
      <c r="C13" s="50"/>
      <c r="D13" s="50"/>
      <c r="E13" s="50"/>
      <c r="F13" s="50"/>
      <c r="G13" s="50"/>
      <c r="H13" s="50"/>
      <c r="I13" s="50"/>
      <c r="J13" s="50"/>
    </row>
    <row r="14" spans="1:10" ht="15">
      <c r="A14" s="54" t="s">
        <v>957</v>
      </c>
      <c r="B14" s="69"/>
      <c r="C14" s="69"/>
      <c r="D14" s="69"/>
      <c r="E14" s="69"/>
      <c r="F14" s="69"/>
      <c r="G14" s="69"/>
      <c r="H14" s="69"/>
      <c r="I14" s="69"/>
      <c r="J14" s="69"/>
    </row>
    <row r="15" spans="1:11" ht="15">
      <c r="A15" s="23" t="s">
        <v>923</v>
      </c>
      <c r="B15" s="23" t="s">
        <v>602</v>
      </c>
      <c r="C15" s="23" t="s">
        <v>603</v>
      </c>
      <c r="D15" s="43">
        <v>0.6224</v>
      </c>
      <c r="E15" s="36" t="s">
        <v>19</v>
      </c>
      <c r="F15" s="23" t="s">
        <v>20</v>
      </c>
      <c r="G15" s="42" t="s">
        <v>159</v>
      </c>
      <c r="H15" s="45">
        <v>30</v>
      </c>
      <c r="I15" s="29">
        <v>3000</v>
      </c>
      <c r="J15" s="44">
        <v>1867.1999999999998</v>
      </c>
      <c r="K15" s="36" t="s">
        <v>29</v>
      </c>
    </row>
    <row r="16" spans="1:11" ht="15">
      <c r="A16" s="23" t="s">
        <v>928</v>
      </c>
      <c r="B16" s="23" t="s">
        <v>829</v>
      </c>
      <c r="C16" s="23">
        <v>82.5</v>
      </c>
      <c r="D16" s="43">
        <v>0.6193</v>
      </c>
      <c r="E16" s="36" t="s">
        <v>508</v>
      </c>
      <c r="F16" s="23" t="s">
        <v>509</v>
      </c>
      <c r="G16" s="42" t="s">
        <v>159</v>
      </c>
      <c r="H16" s="45">
        <v>34</v>
      </c>
      <c r="I16" s="29">
        <v>3400</v>
      </c>
      <c r="J16" s="44">
        <v>2105.62</v>
      </c>
      <c r="K16" s="36" t="s">
        <v>510</v>
      </c>
    </row>
    <row r="17" spans="1:11" ht="15">
      <c r="A17" s="23" t="s">
        <v>929</v>
      </c>
      <c r="B17" s="23" t="s">
        <v>937</v>
      </c>
      <c r="C17" s="23">
        <v>78.5</v>
      </c>
      <c r="D17" s="43">
        <v>0.6418</v>
      </c>
      <c r="E17" s="36" t="s">
        <v>932</v>
      </c>
      <c r="F17" s="23" t="s">
        <v>20</v>
      </c>
      <c r="G17" s="42" t="s">
        <v>159</v>
      </c>
      <c r="H17" s="45">
        <v>33</v>
      </c>
      <c r="I17" s="29">
        <v>3300</v>
      </c>
      <c r="J17" s="44">
        <v>2117.94</v>
      </c>
      <c r="K17" s="36" t="s">
        <v>942</v>
      </c>
    </row>
    <row r="19" spans="1:10" ht="15">
      <c r="A19" s="54" t="s">
        <v>958</v>
      </c>
      <c r="B19" s="69"/>
      <c r="C19" s="69"/>
      <c r="D19" s="69"/>
      <c r="E19" s="69"/>
      <c r="F19" s="69"/>
      <c r="G19" s="69"/>
      <c r="H19" s="69"/>
      <c r="I19" s="69"/>
      <c r="J19" s="69"/>
    </row>
    <row r="20" spans="1:11" ht="15">
      <c r="A20" s="23" t="s">
        <v>931</v>
      </c>
      <c r="B20" s="23" t="s">
        <v>933</v>
      </c>
      <c r="C20" s="23">
        <v>87.65</v>
      </c>
      <c r="D20" s="43">
        <v>0.5952</v>
      </c>
      <c r="E20" s="36" t="s">
        <v>945</v>
      </c>
      <c r="F20" s="23" t="s">
        <v>20</v>
      </c>
      <c r="G20" s="42" t="s">
        <v>159</v>
      </c>
      <c r="H20" s="45">
        <v>61</v>
      </c>
      <c r="I20" s="29">
        <v>6100</v>
      </c>
      <c r="J20" s="44">
        <v>3630.72</v>
      </c>
      <c r="K20" s="36" t="s">
        <v>946</v>
      </c>
    </row>
    <row r="22" spans="1:10" ht="15">
      <c r="A22" s="54" t="s">
        <v>959</v>
      </c>
      <c r="B22" s="69"/>
      <c r="C22" s="69"/>
      <c r="D22" s="69"/>
      <c r="E22" s="69"/>
      <c r="F22" s="69"/>
      <c r="G22" s="69"/>
      <c r="H22" s="69"/>
      <c r="I22" s="69"/>
      <c r="J22" s="69"/>
    </row>
    <row r="23" spans="1:11" ht="15">
      <c r="A23" s="23" t="s">
        <v>930</v>
      </c>
      <c r="B23" s="23" t="s">
        <v>619</v>
      </c>
      <c r="C23" s="23">
        <v>98.2</v>
      </c>
      <c r="D23" s="43">
        <v>0.5586</v>
      </c>
      <c r="E23" s="36" t="s">
        <v>34</v>
      </c>
      <c r="F23" s="23" t="s">
        <v>20</v>
      </c>
      <c r="G23" s="42" t="s">
        <v>159</v>
      </c>
      <c r="H23" s="45">
        <v>33</v>
      </c>
      <c r="I23" s="29">
        <v>3300</v>
      </c>
      <c r="J23" s="44">
        <v>1843.3799999999999</v>
      </c>
      <c r="K23" s="36" t="s">
        <v>944</v>
      </c>
    </row>
    <row r="26" spans="5:6" ht="15">
      <c r="E26" s="15" t="s">
        <v>70</v>
      </c>
      <c r="F26" s="49" t="s">
        <v>950</v>
      </c>
    </row>
    <row r="27" spans="5:6" ht="15">
      <c r="E27" s="15" t="s">
        <v>71</v>
      </c>
      <c r="F27" s="49" t="s">
        <v>949</v>
      </c>
    </row>
    <row r="28" spans="5:6" ht="15">
      <c r="E28" s="15" t="s">
        <v>72</v>
      </c>
      <c r="F28" s="49" t="s">
        <v>950</v>
      </c>
    </row>
    <row r="29" spans="5:6" ht="15">
      <c r="E29" s="15" t="s">
        <v>73</v>
      </c>
      <c r="F29" s="49" t="s">
        <v>951</v>
      </c>
    </row>
    <row r="30" spans="5:6" ht="15">
      <c r="E30" s="15" t="s">
        <v>73</v>
      </c>
      <c r="F30" s="49" t="s">
        <v>952</v>
      </c>
    </row>
    <row r="31" spans="5:10" s="4" customFormat="1" ht="15">
      <c r="E31" s="15" t="s">
        <v>74</v>
      </c>
      <c r="F31" s="49" t="s">
        <v>953</v>
      </c>
      <c r="G31" s="3"/>
      <c r="H31" s="27"/>
      <c r="J31" s="3"/>
    </row>
    <row r="32" spans="5:10" s="4" customFormat="1" ht="15">
      <c r="E32" s="15"/>
      <c r="G32" s="3"/>
      <c r="H32" s="27"/>
      <c r="J32" s="3"/>
    </row>
    <row r="34" spans="1:10" s="4" customFormat="1" ht="18">
      <c r="A34" s="16" t="s">
        <v>75</v>
      </c>
      <c r="B34" s="16"/>
      <c r="G34" s="3"/>
      <c r="H34" s="27"/>
      <c r="J34" s="3"/>
    </row>
    <row r="35" spans="1:10" s="4" customFormat="1" ht="15">
      <c r="A35" s="17" t="s">
        <v>91</v>
      </c>
      <c r="B35" s="17"/>
      <c r="G35" s="3"/>
      <c r="H35" s="27"/>
      <c r="J35" s="3"/>
    </row>
    <row r="36" spans="1:10" s="4" customFormat="1" ht="14.25">
      <c r="A36" s="19"/>
      <c r="B36" s="20" t="s">
        <v>77</v>
      </c>
      <c r="G36" s="3"/>
      <c r="H36" s="27"/>
      <c r="J36" s="3"/>
    </row>
    <row r="37" spans="1:10" s="4" customFormat="1" ht="15">
      <c r="A37" s="21" t="s">
        <v>78</v>
      </c>
      <c r="B37" s="21" t="s">
        <v>79</v>
      </c>
      <c r="C37" s="21" t="s">
        <v>80</v>
      </c>
      <c r="D37" s="21" t="s">
        <v>81</v>
      </c>
      <c r="E37" s="21" t="s">
        <v>721</v>
      </c>
      <c r="G37" s="3"/>
      <c r="H37" s="27"/>
      <c r="J37" s="3"/>
    </row>
    <row r="38" spans="1:10" s="4" customFormat="1" ht="15">
      <c r="A38" s="40" t="s">
        <v>791</v>
      </c>
      <c r="B38" s="4" t="s">
        <v>77</v>
      </c>
      <c r="C38" s="48" t="s">
        <v>156</v>
      </c>
      <c r="D38" s="41">
        <v>5500</v>
      </c>
      <c r="E38" s="44">
        <v>3770.25</v>
      </c>
      <c r="G38" s="3"/>
      <c r="H38" s="27"/>
      <c r="J38" s="3"/>
    </row>
    <row r="39" spans="1:10" s="4" customFormat="1" ht="15">
      <c r="A39" s="40" t="s">
        <v>938</v>
      </c>
      <c r="B39" s="4" t="s">
        <v>77</v>
      </c>
      <c r="C39" s="48" t="s">
        <v>171</v>
      </c>
      <c r="D39" s="41">
        <v>4000</v>
      </c>
      <c r="E39" s="44">
        <v>2895.6</v>
      </c>
      <c r="G39" s="3"/>
      <c r="H39" s="27"/>
      <c r="J39" s="3"/>
    </row>
    <row r="40" spans="1:10" s="4" customFormat="1" ht="15">
      <c r="A40" s="40" t="s">
        <v>939</v>
      </c>
      <c r="B40" s="4" t="s">
        <v>77</v>
      </c>
      <c r="C40" s="48" t="s">
        <v>171</v>
      </c>
      <c r="D40" s="41">
        <v>3300</v>
      </c>
      <c r="E40" s="44">
        <v>2451.57</v>
      </c>
      <c r="G40" s="3"/>
      <c r="H40" s="27"/>
      <c r="J40" s="3"/>
    </row>
    <row r="41" spans="1:10" s="4" customFormat="1" ht="15">
      <c r="A41" s="40" t="s">
        <v>940</v>
      </c>
      <c r="B41" s="4" t="s">
        <v>77</v>
      </c>
      <c r="C41" s="48" t="s">
        <v>156</v>
      </c>
      <c r="D41" s="41">
        <v>3500</v>
      </c>
      <c r="E41" s="44">
        <v>2451.4</v>
      </c>
      <c r="G41" s="3"/>
      <c r="H41" s="27"/>
      <c r="J41" s="3"/>
    </row>
    <row r="42" spans="1:5" ht="15">
      <c r="A42" s="40" t="s">
        <v>941</v>
      </c>
      <c r="B42" s="4" t="s">
        <v>77</v>
      </c>
      <c r="C42" s="48" t="s">
        <v>871</v>
      </c>
      <c r="D42" s="41">
        <v>3300</v>
      </c>
      <c r="E42" s="44">
        <v>2117.94</v>
      </c>
    </row>
    <row r="43" spans="1:5" ht="15">
      <c r="A43" s="40" t="s">
        <v>827</v>
      </c>
      <c r="B43" s="4" t="s">
        <v>77</v>
      </c>
      <c r="C43" s="48" t="s">
        <v>871</v>
      </c>
      <c r="D43" s="41">
        <v>3400</v>
      </c>
      <c r="E43" s="44">
        <v>2105.62</v>
      </c>
    </row>
    <row r="44" spans="1:5" ht="15">
      <c r="A44" s="40" t="s">
        <v>617</v>
      </c>
      <c r="B44" s="4" t="s">
        <v>77</v>
      </c>
      <c r="C44" s="48" t="s">
        <v>159</v>
      </c>
      <c r="D44" s="41">
        <v>3300</v>
      </c>
      <c r="E44" s="44">
        <v>1843.3799999999999</v>
      </c>
    </row>
    <row r="45" spans="1:5" ht="15">
      <c r="A45" s="40" t="s">
        <v>569</v>
      </c>
      <c r="B45" s="4" t="s">
        <v>77</v>
      </c>
      <c r="C45" s="48" t="s">
        <v>156</v>
      </c>
      <c r="D45" s="41">
        <v>2600</v>
      </c>
      <c r="E45" s="44">
        <v>1778.1399999999999</v>
      </c>
    </row>
  </sheetData>
  <sheetProtection/>
  <mergeCells count="16">
    <mergeCell ref="A1:K2"/>
    <mergeCell ref="A3:A4"/>
    <mergeCell ref="B3:B4"/>
    <mergeCell ref="C3:C4"/>
    <mergeCell ref="D3:D4"/>
    <mergeCell ref="E3:E4"/>
    <mergeCell ref="F3:F4"/>
    <mergeCell ref="G3:H3"/>
    <mergeCell ref="I3:I4"/>
    <mergeCell ref="J3:J4"/>
    <mergeCell ref="A9:J9"/>
    <mergeCell ref="A14:J14"/>
    <mergeCell ref="A19:J19"/>
    <mergeCell ref="A22:J22"/>
    <mergeCell ref="K3:K4"/>
    <mergeCell ref="A5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1">
      <selection activeCell="F12" sqref="F12:F17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25.75390625" style="4" bestFit="1" customWidth="1"/>
    <col min="7" max="7" width="4.625" style="3" bestFit="1" customWidth="1"/>
    <col min="8" max="8" width="4.625" style="27" bestFit="1" customWidth="1"/>
    <col min="9" max="9" width="7.75390625" style="4" bestFit="1" customWidth="1"/>
    <col min="10" max="10" width="7.625" style="3" bestFit="1" customWidth="1"/>
    <col min="11" max="11" width="13.125" style="4" bestFit="1" customWidth="1"/>
    <col min="12" max="16384" width="9.125" style="3" customWidth="1"/>
  </cols>
  <sheetData>
    <row r="1" spans="1:11" s="2" customFormat="1" ht="28.5" customHeight="1">
      <c r="A1" s="56" t="s">
        <v>740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54.7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66" t="s">
        <v>693</v>
      </c>
      <c r="E3" s="66" t="s">
        <v>4</v>
      </c>
      <c r="F3" s="66" t="s">
        <v>8</v>
      </c>
      <c r="G3" s="66" t="s">
        <v>688</v>
      </c>
      <c r="H3" s="66"/>
      <c r="I3" s="66" t="s">
        <v>691</v>
      </c>
      <c r="J3" s="66" t="s">
        <v>3</v>
      </c>
      <c r="K3" s="67" t="s">
        <v>2</v>
      </c>
    </row>
    <row r="4" spans="1:11" s="1" customFormat="1" ht="21" customHeight="1" thickBot="1">
      <c r="A4" s="63"/>
      <c r="B4" s="65"/>
      <c r="C4" s="65"/>
      <c r="D4" s="65"/>
      <c r="E4" s="65"/>
      <c r="F4" s="65"/>
      <c r="G4" s="5" t="s">
        <v>689</v>
      </c>
      <c r="H4" s="26" t="s">
        <v>690</v>
      </c>
      <c r="I4" s="65"/>
      <c r="J4" s="65"/>
      <c r="K4" s="68"/>
    </row>
    <row r="5" spans="1:10" ht="15">
      <c r="A5" s="52" t="s">
        <v>694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6" t="s">
        <v>741</v>
      </c>
      <c r="B6" s="6" t="s">
        <v>343</v>
      </c>
      <c r="C6" s="6" t="s">
        <v>344</v>
      </c>
      <c r="D6" s="6" t="str">
        <f>"1,0000"</f>
        <v>1,0000</v>
      </c>
      <c r="E6" s="6" t="s">
        <v>123</v>
      </c>
      <c r="F6" s="6" t="s">
        <v>124</v>
      </c>
      <c r="G6" s="7" t="s">
        <v>36</v>
      </c>
      <c r="H6" s="28" t="s">
        <v>742</v>
      </c>
      <c r="I6" s="6" t="str">
        <f>"2400,0"</f>
        <v>2400,0</v>
      </c>
      <c r="J6" s="7" t="str">
        <f>"23,6104"</f>
        <v>23,6104</v>
      </c>
      <c r="K6" s="6" t="s">
        <v>125</v>
      </c>
    </row>
    <row r="7" spans="1:11" ht="12.75">
      <c r="A7" s="23" t="s">
        <v>743</v>
      </c>
      <c r="B7" s="23" t="s">
        <v>128</v>
      </c>
      <c r="C7" s="23" t="s">
        <v>129</v>
      </c>
      <c r="D7" s="23" t="str">
        <f>"1,0000"</f>
        <v>1,0000</v>
      </c>
      <c r="E7" s="23" t="s">
        <v>123</v>
      </c>
      <c r="F7" s="23" t="s">
        <v>124</v>
      </c>
      <c r="G7" s="25" t="s">
        <v>36</v>
      </c>
      <c r="H7" s="29" t="s">
        <v>744</v>
      </c>
      <c r="I7" s="23" t="str">
        <f>"2175,0"</f>
        <v>2175,0</v>
      </c>
      <c r="J7" s="25" t="str">
        <f>"26,6544"</f>
        <v>26,6544</v>
      </c>
      <c r="K7" s="23" t="s">
        <v>125</v>
      </c>
    </row>
    <row r="8" spans="1:11" ht="12.75">
      <c r="A8" s="23" t="s">
        <v>745</v>
      </c>
      <c r="B8" s="23" t="s">
        <v>309</v>
      </c>
      <c r="C8" s="23" t="s">
        <v>136</v>
      </c>
      <c r="D8" s="23" t="str">
        <f>"1,0000"</f>
        <v>1,0000</v>
      </c>
      <c r="E8" s="36" t="s">
        <v>123</v>
      </c>
      <c r="F8" s="23" t="s">
        <v>124</v>
      </c>
      <c r="G8" s="25" t="s">
        <v>36</v>
      </c>
      <c r="H8" s="29" t="s">
        <v>744</v>
      </c>
      <c r="I8" s="23" t="str">
        <f>"2175,0"</f>
        <v>2175,0</v>
      </c>
      <c r="J8" s="25" t="str">
        <f>"24,8287"</f>
        <v>24,8287</v>
      </c>
      <c r="K8" s="23" t="s">
        <v>125</v>
      </c>
    </row>
    <row r="9" spans="1:11" ht="12.75">
      <c r="A9" s="23" t="s">
        <v>746</v>
      </c>
      <c r="B9" s="23" t="s">
        <v>747</v>
      </c>
      <c r="C9" s="23" t="s">
        <v>122</v>
      </c>
      <c r="D9" s="23" t="str">
        <f>"1,0000"</f>
        <v>1,0000</v>
      </c>
      <c r="E9" s="23" t="s">
        <v>123</v>
      </c>
      <c r="F9" s="23" t="s">
        <v>124</v>
      </c>
      <c r="G9" s="25" t="s">
        <v>36</v>
      </c>
      <c r="H9" s="29" t="s">
        <v>748</v>
      </c>
      <c r="I9" s="23" t="str">
        <f>"1425,0"</f>
        <v>1425,0</v>
      </c>
      <c r="J9" s="25" t="str">
        <f>"19,1532"</f>
        <v>19,1532</v>
      </c>
      <c r="K9" s="23" t="s">
        <v>125</v>
      </c>
    </row>
    <row r="10" spans="1:11" ht="12.75">
      <c r="A10" s="9" t="s">
        <v>148</v>
      </c>
      <c r="B10" s="9" t="s">
        <v>149</v>
      </c>
      <c r="C10" s="9" t="s">
        <v>150</v>
      </c>
      <c r="D10" s="9" t="str">
        <f>"1,0000"</f>
        <v>1,0000</v>
      </c>
      <c r="E10" s="9" t="s">
        <v>123</v>
      </c>
      <c r="F10" s="9" t="s">
        <v>124</v>
      </c>
      <c r="G10" s="10" t="s">
        <v>36</v>
      </c>
      <c r="H10" s="30" t="s">
        <v>749</v>
      </c>
      <c r="I10" s="9" t="str">
        <f>"2100,0"</f>
        <v>2100,0</v>
      </c>
      <c r="J10" s="10" t="str">
        <f>"17,5292"</f>
        <v>17,5292</v>
      </c>
      <c r="K10" s="9" t="s">
        <v>125</v>
      </c>
    </row>
    <row r="12" spans="5:6" ht="15">
      <c r="E12" s="15" t="s">
        <v>70</v>
      </c>
      <c r="F12" s="49" t="s">
        <v>950</v>
      </c>
    </row>
    <row r="13" spans="5:6" ht="15">
      <c r="E13" s="15" t="s">
        <v>71</v>
      </c>
      <c r="F13" s="49" t="s">
        <v>949</v>
      </c>
    </row>
    <row r="14" spans="5:6" ht="15">
      <c r="E14" s="15" t="s">
        <v>72</v>
      </c>
      <c r="F14" s="49" t="s">
        <v>950</v>
      </c>
    </row>
    <row r="15" spans="5:6" ht="15">
      <c r="E15" s="15" t="s">
        <v>73</v>
      </c>
      <c r="F15" s="49" t="s">
        <v>951</v>
      </c>
    </row>
    <row r="16" spans="5:6" ht="15">
      <c r="E16" s="15" t="s">
        <v>73</v>
      </c>
      <c r="F16" s="49" t="s">
        <v>952</v>
      </c>
    </row>
    <row r="17" spans="5:6" ht="15">
      <c r="E17" s="15" t="s">
        <v>74</v>
      </c>
      <c r="F17" s="49" t="s">
        <v>953</v>
      </c>
    </row>
    <row r="18" ht="15">
      <c r="E18" s="15"/>
    </row>
    <row r="20" spans="1:2" ht="18">
      <c r="A20" s="16" t="s">
        <v>75</v>
      </c>
      <c r="B20" s="16"/>
    </row>
    <row r="21" spans="1:2" ht="15">
      <c r="A21" s="17" t="s">
        <v>91</v>
      </c>
      <c r="B21" s="17"/>
    </row>
    <row r="22" spans="1:2" ht="14.25">
      <c r="A22" s="19"/>
      <c r="B22" s="20" t="s">
        <v>77</v>
      </c>
    </row>
    <row r="23" spans="1:5" ht="15">
      <c r="A23" s="21" t="s">
        <v>78</v>
      </c>
      <c r="B23" s="21" t="s">
        <v>79</v>
      </c>
      <c r="C23" s="21" t="s">
        <v>80</v>
      </c>
      <c r="D23" s="21" t="s">
        <v>81</v>
      </c>
      <c r="E23" s="21" t="s">
        <v>721</v>
      </c>
    </row>
    <row r="24" spans="1:5" ht="12.75">
      <c r="A24" s="18" t="s">
        <v>126</v>
      </c>
      <c r="B24" s="4" t="s">
        <v>77</v>
      </c>
      <c r="C24" s="4" t="s">
        <v>722</v>
      </c>
      <c r="D24" s="4" t="s">
        <v>750</v>
      </c>
      <c r="E24" s="22" t="s">
        <v>751</v>
      </c>
    </row>
    <row r="25" spans="1:5" ht="12.75">
      <c r="A25" s="18" t="s">
        <v>307</v>
      </c>
      <c r="B25" s="4" t="s">
        <v>77</v>
      </c>
      <c r="C25" s="4" t="s">
        <v>722</v>
      </c>
      <c r="D25" s="4" t="s">
        <v>750</v>
      </c>
      <c r="E25" s="22" t="s">
        <v>752</v>
      </c>
    </row>
    <row r="26" spans="1:5" ht="12.75">
      <c r="A26" s="18" t="s">
        <v>341</v>
      </c>
      <c r="B26" s="4" t="s">
        <v>77</v>
      </c>
      <c r="C26" s="4" t="s">
        <v>722</v>
      </c>
      <c r="D26" s="4" t="s">
        <v>753</v>
      </c>
      <c r="E26" s="22" t="s">
        <v>754</v>
      </c>
    </row>
    <row r="27" spans="1:5" ht="12.75">
      <c r="A27" s="18" t="s">
        <v>119</v>
      </c>
      <c r="B27" s="4" t="s">
        <v>77</v>
      </c>
      <c r="C27" s="4" t="s">
        <v>722</v>
      </c>
      <c r="D27" s="4" t="s">
        <v>755</v>
      </c>
      <c r="E27" s="22" t="s">
        <v>756</v>
      </c>
    </row>
    <row r="29" spans="1:2" ht="14.25">
      <c r="A29" s="19"/>
      <c r="B29" s="20" t="s">
        <v>106</v>
      </c>
    </row>
    <row r="30" spans="1:5" ht="15">
      <c r="A30" s="21" t="s">
        <v>78</v>
      </c>
      <c r="B30" s="21" t="s">
        <v>79</v>
      </c>
      <c r="C30" s="21" t="s">
        <v>80</v>
      </c>
      <c r="D30" s="21" t="s">
        <v>81</v>
      </c>
      <c r="E30" s="21" t="s">
        <v>721</v>
      </c>
    </row>
    <row r="31" spans="1:5" ht="12.75">
      <c r="A31" s="18" t="s">
        <v>147</v>
      </c>
      <c r="B31" s="4" t="s">
        <v>155</v>
      </c>
      <c r="C31" s="4" t="s">
        <v>722</v>
      </c>
      <c r="D31" s="4" t="s">
        <v>757</v>
      </c>
      <c r="E31" s="22" t="s">
        <v>758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B30" sqref="B30"/>
    </sheetView>
  </sheetViews>
  <sheetFormatPr defaultColWidth="9.125" defaultRowHeight="12.75"/>
  <cols>
    <col min="1" max="1" width="24.75390625" style="4" bestFit="1" customWidth="1"/>
    <col min="2" max="2" width="28.75390625" style="4" bestFit="1" customWidth="1"/>
    <col min="3" max="3" width="10.125" style="4" bestFit="1" customWidth="1"/>
    <col min="4" max="4" width="10.625" style="4" bestFit="1" customWidth="1"/>
    <col min="5" max="5" width="21.75390625" style="4" bestFit="1" customWidth="1"/>
    <col min="6" max="6" width="34.00390625" style="4" bestFit="1" customWidth="1"/>
    <col min="7" max="7" width="4.625" style="3" bestFit="1" customWidth="1"/>
    <col min="8" max="8" width="5.625" style="27" bestFit="1" customWidth="1"/>
    <col min="9" max="9" width="7.75390625" style="4" bestFit="1" customWidth="1"/>
    <col min="10" max="10" width="7.625" style="3" bestFit="1" customWidth="1"/>
    <col min="11" max="11" width="16.125" style="4" bestFit="1" customWidth="1"/>
    <col min="12" max="16384" width="9.125" style="3" customWidth="1"/>
  </cols>
  <sheetData>
    <row r="1" spans="1:11" s="2" customFormat="1" ht="28.5" customHeight="1">
      <c r="A1" s="56" t="s">
        <v>692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61.5" customHeight="1" thickBot="1">
      <c r="A2" s="59"/>
      <c r="B2" s="60"/>
      <c r="C2" s="60"/>
      <c r="D2" s="60"/>
      <c r="E2" s="60"/>
      <c r="F2" s="60"/>
      <c r="G2" s="60"/>
      <c r="H2" s="60"/>
      <c r="I2" s="60"/>
      <c r="J2" s="60"/>
      <c r="K2" s="61"/>
    </row>
    <row r="3" spans="1:11" s="1" customFormat="1" ht="12.75" customHeight="1">
      <c r="A3" s="62" t="s">
        <v>0</v>
      </c>
      <c r="B3" s="64" t="s">
        <v>6</v>
      </c>
      <c r="C3" s="64" t="s">
        <v>7</v>
      </c>
      <c r="D3" s="66" t="s">
        <v>693</v>
      </c>
      <c r="E3" s="66" t="s">
        <v>4</v>
      </c>
      <c r="F3" s="66" t="s">
        <v>8</v>
      </c>
      <c r="G3" s="66" t="s">
        <v>688</v>
      </c>
      <c r="H3" s="66"/>
      <c r="I3" s="66" t="s">
        <v>691</v>
      </c>
      <c r="J3" s="66" t="s">
        <v>3</v>
      </c>
      <c r="K3" s="67" t="s">
        <v>2</v>
      </c>
    </row>
    <row r="4" spans="1:11" s="1" customFormat="1" ht="21" customHeight="1" thickBot="1">
      <c r="A4" s="63"/>
      <c r="B4" s="65"/>
      <c r="C4" s="65"/>
      <c r="D4" s="65"/>
      <c r="E4" s="65"/>
      <c r="F4" s="65"/>
      <c r="G4" s="5" t="s">
        <v>689</v>
      </c>
      <c r="H4" s="26" t="s">
        <v>690</v>
      </c>
      <c r="I4" s="65"/>
      <c r="J4" s="65"/>
      <c r="K4" s="68"/>
    </row>
    <row r="5" spans="1:10" ht="15">
      <c r="A5" s="52" t="s">
        <v>694</v>
      </c>
      <c r="B5" s="53"/>
      <c r="C5" s="53"/>
      <c r="D5" s="53"/>
      <c r="E5" s="53"/>
      <c r="F5" s="53"/>
      <c r="G5" s="53"/>
      <c r="H5" s="53"/>
      <c r="I5" s="53"/>
      <c r="J5" s="53"/>
    </row>
    <row r="6" spans="1:11" ht="12.75">
      <c r="A6" s="6" t="s">
        <v>696</v>
      </c>
      <c r="B6" s="6" t="s">
        <v>697</v>
      </c>
      <c r="C6" s="6" t="s">
        <v>698</v>
      </c>
      <c r="D6" s="6" t="str">
        <f aca="true" t="shared" si="0" ref="D6:D14">"1,0000"</f>
        <v>1,0000</v>
      </c>
      <c r="E6" s="6" t="s">
        <v>19</v>
      </c>
      <c r="F6" s="6" t="s">
        <v>259</v>
      </c>
      <c r="G6" s="7" t="s">
        <v>23</v>
      </c>
      <c r="H6" s="28" t="s">
        <v>27</v>
      </c>
      <c r="I6" s="6" t="str">
        <f>"6050,0"</f>
        <v>6050,0</v>
      </c>
      <c r="J6" s="7" t="str">
        <f>"62,6943"</f>
        <v>62,6943</v>
      </c>
      <c r="K6" s="6" t="s">
        <v>29</v>
      </c>
    </row>
    <row r="7" spans="1:11" ht="12.75">
      <c r="A7" s="23" t="s">
        <v>700</v>
      </c>
      <c r="B7" s="23" t="s">
        <v>701</v>
      </c>
      <c r="C7" s="23" t="s">
        <v>702</v>
      </c>
      <c r="D7" s="23" t="str">
        <f t="shared" si="0"/>
        <v>1,0000</v>
      </c>
      <c r="E7" s="23" t="s">
        <v>19</v>
      </c>
      <c r="F7" s="23" t="s">
        <v>20</v>
      </c>
      <c r="G7" s="25" t="s">
        <v>23</v>
      </c>
      <c r="H7" s="29" t="s">
        <v>703</v>
      </c>
      <c r="I7" s="23" t="str">
        <f>"3960,0"</f>
        <v>3960,0</v>
      </c>
      <c r="J7" s="25" t="str">
        <f>"45,3089"</f>
        <v>45,3089</v>
      </c>
      <c r="K7" s="23" t="s">
        <v>29</v>
      </c>
    </row>
    <row r="8" spans="1:11" ht="12.75">
      <c r="A8" s="23" t="s">
        <v>705</v>
      </c>
      <c r="B8" s="23" t="s">
        <v>706</v>
      </c>
      <c r="C8" s="23" t="s">
        <v>707</v>
      </c>
      <c r="D8" s="23" t="str">
        <f t="shared" si="0"/>
        <v>1,0000</v>
      </c>
      <c r="E8" s="23" t="s">
        <v>207</v>
      </c>
      <c r="F8" s="23" t="s">
        <v>20</v>
      </c>
      <c r="G8" s="25" t="s">
        <v>23</v>
      </c>
      <c r="H8" s="29" t="s">
        <v>708</v>
      </c>
      <c r="I8" s="23" t="str">
        <f>"3685,0"</f>
        <v>3685,0</v>
      </c>
      <c r="J8" s="25" t="str">
        <f>"41,5211"</f>
        <v>41,5211</v>
      </c>
      <c r="K8" s="23" t="s">
        <v>209</v>
      </c>
    </row>
    <row r="9" spans="1:11" ht="12.75">
      <c r="A9" s="23" t="s">
        <v>296</v>
      </c>
      <c r="B9" s="23" t="s">
        <v>297</v>
      </c>
      <c r="C9" s="23" t="s">
        <v>298</v>
      </c>
      <c r="D9" s="23" t="str">
        <f t="shared" si="0"/>
        <v>1,0000</v>
      </c>
      <c r="E9" s="23" t="s">
        <v>123</v>
      </c>
      <c r="F9" s="23" t="s">
        <v>124</v>
      </c>
      <c r="G9" s="25" t="s">
        <v>23</v>
      </c>
      <c r="H9" s="29" t="s">
        <v>709</v>
      </c>
      <c r="I9" s="23" t="str">
        <f>"3080,0"</f>
        <v>3080,0</v>
      </c>
      <c r="J9" s="25" t="str">
        <f>"35,4226"</f>
        <v>35,4226</v>
      </c>
      <c r="K9" s="23" t="s">
        <v>125</v>
      </c>
    </row>
    <row r="10" spans="1:11" ht="12.75">
      <c r="A10" s="23" t="s">
        <v>711</v>
      </c>
      <c r="B10" s="23" t="s">
        <v>712</v>
      </c>
      <c r="C10" s="23" t="s">
        <v>58</v>
      </c>
      <c r="D10" s="23" t="str">
        <f t="shared" si="0"/>
        <v>1,0000</v>
      </c>
      <c r="E10" s="23" t="s">
        <v>19</v>
      </c>
      <c r="F10" s="23" t="s">
        <v>20</v>
      </c>
      <c r="G10" s="25" t="s">
        <v>23</v>
      </c>
      <c r="H10" s="29" t="s">
        <v>713</v>
      </c>
      <c r="I10" s="23" t="str">
        <f>"2310,0"</f>
        <v>2310,0</v>
      </c>
      <c r="J10" s="25" t="str">
        <f>"28,8750"</f>
        <v>28,8750</v>
      </c>
      <c r="K10" s="23" t="s">
        <v>29</v>
      </c>
    </row>
    <row r="11" spans="1:11" ht="12.75">
      <c r="A11" s="23" t="s">
        <v>715</v>
      </c>
      <c r="B11" s="23" t="s">
        <v>716</v>
      </c>
      <c r="C11" s="23" t="s">
        <v>206</v>
      </c>
      <c r="D11" s="23" t="str">
        <f t="shared" si="0"/>
        <v>1,0000</v>
      </c>
      <c r="E11" s="23" t="s">
        <v>19</v>
      </c>
      <c r="F11" s="23" t="s">
        <v>20</v>
      </c>
      <c r="G11" s="25" t="s">
        <v>23</v>
      </c>
      <c r="H11" s="29" t="s">
        <v>717</v>
      </c>
      <c r="I11" s="23" t="str">
        <f>"1925,0"</f>
        <v>1925,0</v>
      </c>
      <c r="J11" s="25" t="str">
        <f>"26,8667"</f>
        <v>26,8667</v>
      </c>
      <c r="K11" s="23" t="s">
        <v>29</v>
      </c>
    </row>
    <row r="12" spans="1:11" ht="12.75">
      <c r="A12" s="23" t="s">
        <v>134</v>
      </c>
      <c r="B12" s="23" t="s">
        <v>135</v>
      </c>
      <c r="C12" s="23" t="s">
        <v>136</v>
      </c>
      <c r="D12" s="23" t="str">
        <f t="shared" si="0"/>
        <v>1,0000</v>
      </c>
      <c r="E12" s="23" t="s">
        <v>123</v>
      </c>
      <c r="F12" s="23" t="s">
        <v>124</v>
      </c>
      <c r="G12" s="25" t="s">
        <v>23</v>
      </c>
      <c r="H12" s="29" t="s">
        <v>718</v>
      </c>
      <c r="I12" s="23" t="str">
        <f>"2915,0"</f>
        <v>2915,0</v>
      </c>
      <c r="J12" s="25" t="str">
        <f>"33,2762"</f>
        <v>33,2762</v>
      </c>
      <c r="K12" s="23" t="s">
        <v>125</v>
      </c>
    </row>
    <row r="13" spans="1:11" ht="12.75">
      <c r="A13" s="23" t="s">
        <v>148</v>
      </c>
      <c r="B13" s="23" t="s">
        <v>149</v>
      </c>
      <c r="C13" s="23" t="s">
        <v>150</v>
      </c>
      <c r="D13" s="23" t="str">
        <f t="shared" si="0"/>
        <v>1,0000</v>
      </c>
      <c r="E13" s="23" t="s">
        <v>123</v>
      </c>
      <c r="F13" s="23" t="s">
        <v>124</v>
      </c>
      <c r="G13" s="25" t="s">
        <v>23</v>
      </c>
      <c r="H13" s="29" t="s">
        <v>703</v>
      </c>
      <c r="I13" s="23" t="str">
        <f>"3960,0"</f>
        <v>3960,0</v>
      </c>
      <c r="J13" s="25" t="str">
        <f>"33,0550"</f>
        <v>33,0550</v>
      </c>
      <c r="K13" s="23" t="s">
        <v>125</v>
      </c>
    </row>
    <row r="14" spans="1:11" ht="12.75">
      <c r="A14" s="9" t="s">
        <v>719</v>
      </c>
      <c r="B14" s="9" t="s">
        <v>121</v>
      </c>
      <c r="C14" s="9" t="s">
        <v>122</v>
      </c>
      <c r="D14" s="9" t="str">
        <f t="shared" si="0"/>
        <v>1,0000</v>
      </c>
      <c r="E14" s="9" t="s">
        <v>123</v>
      </c>
      <c r="F14" s="9" t="s">
        <v>124</v>
      </c>
      <c r="G14" s="10" t="s">
        <v>23</v>
      </c>
      <c r="H14" s="30" t="s">
        <v>720</v>
      </c>
      <c r="I14" s="9" t="str">
        <f>"2365,0"</f>
        <v>2365,0</v>
      </c>
      <c r="J14" s="10" t="str">
        <f>"31,7876"</f>
        <v>31,7876</v>
      </c>
      <c r="K14" s="9" t="s">
        <v>125</v>
      </c>
    </row>
    <row r="16" spans="5:6" ht="15">
      <c r="E16" s="15" t="s">
        <v>70</v>
      </c>
      <c r="F16" s="49" t="s">
        <v>950</v>
      </c>
    </row>
    <row r="17" spans="5:6" ht="15">
      <c r="E17" s="15" t="s">
        <v>71</v>
      </c>
      <c r="F17" s="49" t="s">
        <v>949</v>
      </c>
    </row>
    <row r="18" spans="5:6" ht="15">
      <c r="E18" s="15" t="s">
        <v>72</v>
      </c>
      <c r="F18" s="49" t="s">
        <v>950</v>
      </c>
    </row>
    <row r="19" spans="5:6" ht="15">
      <c r="E19" s="15" t="s">
        <v>73</v>
      </c>
      <c r="F19" s="49" t="s">
        <v>951</v>
      </c>
    </row>
    <row r="20" spans="5:6" ht="15">
      <c r="E20" s="15" t="s">
        <v>73</v>
      </c>
      <c r="F20" s="49" t="s">
        <v>952</v>
      </c>
    </row>
    <row r="21" spans="5:6" ht="15">
      <c r="E21" s="15" t="s">
        <v>74</v>
      </c>
      <c r="F21" s="49" t="s">
        <v>953</v>
      </c>
    </row>
    <row r="22" ht="15">
      <c r="E22" s="15"/>
    </row>
    <row r="24" spans="1:2" ht="18">
      <c r="A24" s="16" t="s">
        <v>75</v>
      </c>
      <c r="B24" s="16"/>
    </row>
    <row r="25" spans="1:2" ht="15">
      <c r="A25" s="17" t="s">
        <v>91</v>
      </c>
      <c r="B25" s="17"/>
    </row>
    <row r="26" spans="1:2" ht="14.25">
      <c r="A26" s="19"/>
      <c r="B26" s="20" t="s">
        <v>77</v>
      </c>
    </row>
    <row r="27" spans="1:5" ht="15">
      <c r="A27" s="21" t="s">
        <v>78</v>
      </c>
      <c r="B27" s="21" t="s">
        <v>79</v>
      </c>
      <c r="C27" s="21" t="s">
        <v>80</v>
      </c>
      <c r="D27" s="21" t="s">
        <v>81</v>
      </c>
      <c r="E27" s="21" t="s">
        <v>721</v>
      </c>
    </row>
    <row r="28" spans="1:5" ht="12.75">
      <c r="A28" s="18" t="s">
        <v>695</v>
      </c>
      <c r="B28" s="4" t="s">
        <v>77</v>
      </c>
      <c r="C28" s="4" t="s">
        <v>722</v>
      </c>
      <c r="D28" s="4" t="s">
        <v>723</v>
      </c>
      <c r="E28" s="22" t="s">
        <v>724</v>
      </c>
    </row>
    <row r="29" spans="1:5" ht="12.75">
      <c r="A29" s="18" t="s">
        <v>699</v>
      </c>
      <c r="B29" s="4" t="s">
        <v>77</v>
      </c>
      <c r="C29" s="4" t="s">
        <v>722</v>
      </c>
      <c r="D29" s="4" t="s">
        <v>725</v>
      </c>
      <c r="E29" s="22" t="s">
        <v>726</v>
      </c>
    </row>
    <row r="30" spans="1:5" ht="12.75">
      <c r="A30" s="18" t="s">
        <v>704</v>
      </c>
      <c r="B30" s="4" t="s">
        <v>77</v>
      </c>
      <c r="C30" s="4" t="s">
        <v>722</v>
      </c>
      <c r="D30" s="4" t="s">
        <v>727</v>
      </c>
      <c r="E30" s="22" t="s">
        <v>728</v>
      </c>
    </row>
    <row r="31" spans="1:5" ht="12.75">
      <c r="A31" s="18" t="s">
        <v>295</v>
      </c>
      <c r="B31" s="4" t="s">
        <v>77</v>
      </c>
      <c r="C31" s="4" t="s">
        <v>722</v>
      </c>
      <c r="D31" s="4" t="s">
        <v>729</v>
      </c>
      <c r="E31" s="22" t="s">
        <v>730</v>
      </c>
    </row>
    <row r="32" spans="1:5" ht="12.75">
      <c r="A32" s="18" t="s">
        <v>710</v>
      </c>
      <c r="B32" s="4" t="s">
        <v>77</v>
      </c>
      <c r="C32" s="4" t="s">
        <v>722</v>
      </c>
      <c r="D32" s="4" t="s">
        <v>731</v>
      </c>
      <c r="E32" s="22" t="s">
        <v>732</v>
      </c>
    </row>
    <row r="33" spans="1:5" ht="12.75">
      <c r="A33" s="18" t="s">
        <v>714</v>
      </c>
      <c r="B33" s="4" t="s">
        <v>77</v>
      </c>
      <c r="C33" s="4" t="s">
        <v>722</v>
      </c>
      <c r="D33" s="4" t="s">
        <v>733</v>
      </c>
      <c r="E33" s="22" t="s">
        <v>734</v>
      </c>
    </row>
    <row r="35" spans="1:2" ht="14.25">
      <c r="A35" s="19"/>
      <c r="B35" s="20" t="s">
        <v>106</v>
      </c>
    </row>
    <row r="36" spans="1:5" ht="15">
      <c r="A36" s="21" t="s">
        <v>78</v>
      </c>
      <c r="B36" s="21" t="s">
        <v>79</v>
      </c>
      <c r="C36" s="21" t="s">
        <v>80</v>
      </c>
      <c r="D36" s="21" t="s">
        <v>81</v>
      </c>
      <c r="E36" s="21" t="s">
        <v>721</v>
      </c>
    </row>
    <row r="37" spans="1:5" ht="12.75">
      <c r="A37" s="18" t="s">
        <v>133</v>
      </c>
      <c r="B37" s="4" t="s">
        <v>161</v>
      </c>
      <c r="C37" s="4" t="s">
        <v>722</v>
      </c>
      <c r="D37" s="4" t="s">
        <v>735</v>
      </c>
      <c r="E37" s="22" t="s">
        <v>736</v>
      </c>
    </row>
    <row r="38" spans="1:5" ht="12.75">
      <c r="A38" s="18" t="s">
        <v>147</v>
      </c>
      <c r="B38" s="4" t="s">
        <v>155</v>
      </c>
      <c r="C38" s="4" t="s">
        <v>722</v>
      </c>
      <c r="D38" s="4" t="s">
        <v>725</v>
      </c>
      <c r="E38" s="22" t="s">
        <v>737</v>
      </c>
    </row>
    <row r="39" spans="1:5" ht="12.75">
      <c r="A39" s="18" t="s">
        <v>119</v>
      </c>
      <c r="B39" s="4" t="s">
        <v>155</v>
      </c>
      <c r="C39" s="4" t="s">
        <v>722</v>
      </c>
      <c r="D39" s="4" t="s">
        <v>738</v>
      </c>
      <c r="E39" s="22" t="s">
        <v>739</v>
      </c>
    </row>
  </sheetData>
  <sheetProtection/>
  <mergeCells count="12">
    <mergeCell ref="I3:I4"/>
    <mergeCell ref="J3:J4"/>
    <mergeCell ref="K3:K4"/>
    <mergeCell ref="A5:J5"/>
    <mergeCell ref="A1:K2"/>
    <mergeCell ref="A3:A4"/>
    <mergeCell ref="B3:B4"/>
    <mergeCell ref="C3:C4"/>
    <mergeCell ref="D3:D4"/>
    <mergeCell ref="E3:E4"/>
    <mergeCell ref="F3:F4"/>
    <mergeCell ref="G3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Андрей</cp:lastModifiedBy>
  <cp:lastPrinted>2015-07-16T19:10:53Z</cp:lastPrinted>
  <dcterms:created xsi:type="dcterms:W3CDTF">2002-06-16T13:36:44Z</dcterms:created>
  <dcterms:modified xsi:type="dcterms:W3CDTF">2019-03-26T07:59:07Z</dcterms:modified>
  <cp:category/>
  <cp:version/>
  <cp:contentType/>
  <cp:contentStatus/>
</cp:coreProperties>
</file>